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tabRatio="863" activeTab="2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.a.sz.m.fejlesztés (4)" sheetId="8" r:id="rId8"/>
    <sheet name="6.b.sz.m.intfejl (2)" sheetId="9" r:id="rId9"/>
    <sheet name="7.sz.m.Dologi kiadás (3)" sheetId="10" r:id="rId10"/>
    <sheet name="8.sz.m.szociális kiadások (2)" sheetId="11" r:id="rId11"/>
    <sheet name="9.sz.m.átadott pe (3)" sheetId="12" r:id="rId12"/>
    <sheet name="10 .sz.m. Létszám (2)" sheetId="13" r:id="rId13"/>
    <sheet name="11.sz.m.maradvány" sheetId="14" r:id="rId14"/>
    <sheet name="12.sz.mérleg" sheetId="15" r:id="rId15"/>
    <sheet name="13amell.Vagyokim. Beled Önk" sheetId="16" r:id="rId16"/>
    <sheet name="13bmell.Vagyokim. Közös Hiv" sheetId="17" r:id="rId17"/>
    <sheet name="13cmell.Vagyokim.BÁMK" sheetId="18" r:id="rId18"/>
    <sheet name="13d.sz.m Önk. érték nélkül Bele" sheetId="19" r:id="rId19"/>
    <sheet name="13e.sz.m érték nélkül Közös Hiv" sheetId="20" r:id="rId20"/>
    <sheet name="13f.sz.m.érték nélkül BÁMK" sheetId="21" r:id="rId21"/>
    <sheet name="14. sz adósság kötelezettség" sheetId="22" r:id="rId22"/>
    <sheet name="15. saját bevételek" sheetId="23" r:id="rId23"/>
    <sheet name="16. sz.m. hitelállomány" sheetId="24" r:id="rId24"/>
    <sheet name="17.sz.m akü" sheetId="25" r:id="rId25"/>
    <sheet name="18.sz.m. állami támogatás " sheetId="26" r:id="rId26"/>
    <sheet name="19. sz.m. közvetett tám. " sheetId="27" r:id="rId27"/>
    <sheet name="20.sz.m.többéves kihatás" sheetId="28" r:id="rId28"/>
    <sheet name="21.sz.m.részesedések" sheetId="29" r:id="rId29"/>
    <sheet name="22.sz.m. pe változás" sheetId="30" r:id="rId30"/>
    <sheet name="23. sz. m. EU " sheetId="31" r:id="rId31"/>
    <sheet name="üres lap" sheetId="32" r:id="rId32"/>
  </sheets>
  <externalReferences>
    <externalReference r:id="rId35"/>
    <externalReference r:id="rId36"/>
  </externalReferences>
  <definedNames>
    <definedName name="_xlfn.IFERROR" hidden="1">#NAME?</definedName>
    <definedName name="_xlnm.Print_Area" localSheetId="1">'1 .sz.m.önk.össz.kiad.'!$A$1:$AF$66</definedName>
    <definedName name="_xlnm.Print_Area" localSheetId="0">'1.sz.m-önk.össze.bev'!$A$1:$AF$64</definedName>
    <definedName name="_xlnm.Print_Area" localSheetId="12">'10 .sz.m. Létszám (2)'!$A$1:$O$16</definedName>
    <definedName name="_xlnm.Print_Area" localSheetId="21">'14. sz adósság kötelezettség'!$A$1:$F$25</definedName>
    <definedName name="_xlnm.Print_Area" localSheetId="2">'2.sz.m.összehasonlító'!$A$1:$P$32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Hiv'!$A$1:$AG$52</definedName>
    <definedName name="_xlnm.Print_Area" localSheetId="6">'5.2 sz. m ÁMK'!$A$1:$W$56</definedName>
    <definedName name="_xlnm.Print_Area" localSheetId="7">'6.a.sz.m.fejlesztés (4)'!$A$1:$X$52</definedName>
    <definedName name="_xlnm.Print_Area" localSheetId="8">'6.b.sz.m.intfejl (2)'!$A$1:$K$37</definedName>
    <definedName name="_xlnm.Print_Area" localSheetId="9">'7.sz.m.Dologi kiadás (3)'!$A$1:$X$42</definedName>
    <definedName name="_xlnm.Print_Area" localSheetId="10">'8.sz.m.szociális kiadások (2)'!$A$1:$X$36</definedName>
    <definedName name="_xlnm.Print_Area" localSheetId="11">'9.sz.m.átadott pe (3)'!$A$1:$AD$115</definedName>
    <definedName name="_xlnm.Print_Area" localSheetId="31">'üres lap'!$A$1:$R$44</definedName>
  </definedNames>
  <calcPr fullCalcOnLoad="1"/>
</workbook>
</file>

<file path=xl/sharedStrings.xml><?xml version="1.0" encoding="utf-8"?>
<sst xmlns="http://schemas.openxmlformats.org/spreadsheetml/2006/main" count="2616" uniqueCount="1027">
  <si>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</si>
  <si>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</si>
  <si>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</si>
  <si>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</si>
  <si>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</si>
  <si>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</si>
  <si>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</si>
  <si>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</si>
  <si>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</si>
  <si>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</si>
  <si>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</si>
  <si>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</si>
  <si>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</si>
  <si>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</si>
  <si>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</si>
  <si>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</si>
  <si>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</si>
  <si>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</si>
  <si>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</si>
  <si>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</si>
  <si>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</si>
  <si>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</si>
  <si>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</si>
  <si>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</si>
  <si>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</si>
  <si>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</si>
  <si>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</si>
  <si>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</si>
  <si>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</si>
  <si>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</si>
  <si>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</si>
  <si>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</si>
  <si>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</si>
  <si>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</si>
  <si>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</si>
  <si>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</si>
  <si>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</si>
  <si>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</si>
  <si>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</si>
  <si>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</si>
  <si>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</si>
  <si>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</si>
  <si>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</si>
  <si>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</si>
  <si>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</si>
  <si>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</si>
  <si>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</si>
  <si>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</si>
  <si>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</si>
  <si>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</si>
  <si>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</si>
  <si>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</si>
  <si>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</si>
  <si>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</si>
  <si>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</si>
  <si>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</si>
  <si>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</si>
  <si>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</si>
  <si>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</si>
  <si>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</si>
  <si>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</si>
  <si>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</si>
  <si>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</si>
  <si>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</si>
  <si>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</si>
  <si>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</si>
  <si>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</si>
  <si>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</si>
  <si>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</si>
  <si>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</si>
  <si>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</si>
  <si>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</si>
  <si>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</si>
  <si>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</si>
  <si>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</si>
  <si>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</si>
  <si>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</si>
  <si>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</si>
  <si>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</si>
  <si>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</si>
  <si>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</si>
  <si>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</si>
  <si>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</si>
  <si>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</si>
  <si>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</si>
  <si>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</si>
  <si>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</si>
  <si>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</si>
  <si>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</si>
  <si>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</si>
  <si>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</si>
  <si>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</si>
  <si>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</si>
  <si>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</si>
  <si>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</si>
  <si>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</si>
  <si>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</si>
  <si>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</si>
  <si>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</si>
  <si>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</si>
  <si>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</si>
  <si>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</si>
  <si>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</si>
  <si>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</si>
  <si>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</si>
  <si>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</si>
  <si>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</si>
  <si>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</si>
  <si>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</si>
  <si>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</si>
  <si>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</si>
  <si>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</si>
  <si>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</si>
  <si>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</si>
  <si>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</si>
  <si>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</si>
  <si>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</si>
  <si>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</si>
  <si>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</si>
  <si>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</si>
  <si>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</si>
  <si>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</si>
  <si>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</si>
  <si>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</si>
  <si>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</si>
  <si>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</si>
  <si>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</si>
  <si>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</si>
  <si>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</si>
  <si>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</si>
  <si>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</si>
  <si>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</si>
  <si>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</si>
  <si>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</si>
  <si>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</si>
  <si>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</si>
  <si>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</si>
  <si>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</si>
  <si>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</si>
  <si>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</si>
  <si>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</si>
  <si>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</si>
  <si>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</si>
  <si>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</si>
  <si>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</si>
  <si>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</si>
  <si>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</si>
  <si>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</si>
  <si>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</si>
  <si>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</si>
  <si>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</si>
  <si>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</si>
  <si>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</si>
  <si>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</si>
  <si>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</si>
  <si>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</si>
  <si>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</si>
  <si>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</si>
  <si>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</si>
  <si>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</si>
  <si>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</si>
  <si>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</si>
  <si>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</si>
  <si>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</si>
  <si>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</si>
  <si>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</si>
  <si>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</si>
  <si>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</si>
  <si>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</si>
  <si>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</si>
  <si>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</si>
  <si>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</si>
  <si>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</si>
  <si>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</si>
  <si>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</si>
  <si>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</si>
  <si>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</si>
  <si>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</si>
  <si>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</si>
  <si>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</si>
  <si>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</si>
  <si>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</si>
  <si>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</si>
  <si>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</si>
  <si>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</si>
  <si>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</si>
  <si>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</si>
  <si>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</si>
  <si>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</si>
  <si>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</si>
  <si>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</si>
  <si>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</si>
  <si>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</si>
  <si>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</si>
  <si>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</si>
  <si>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</si>
  <si>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</si>
  <si>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</si>
  <si>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</si>
  <si>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</si>
  <si>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</si>
  <si>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</si>
  <si>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</si>
  <si>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</si>
  <si>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</si>
  <si>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</si>
  <si>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</si>
  <si>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</si>
  <si>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</si>
  <si>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</si>
  <si>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</si>
  <si>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</si>
  <si>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</si>
  <si>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</si>
  <si>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</si>
  <si>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</si>
  <si>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</si>
  <si>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</si>
  <si>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</si>
  <si>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</si>
  <si>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</si>
  <si>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Közigazgatási Kar.</t>
  </si>
  <si>
    <t>KÖSZ</t>
  </si>
  <si>
    <t>TÖOSZ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</si>
  <si>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</si>
  <si>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</si>
  <si>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</si>
  <si>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</si>
  <si>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</si>
  <si>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</si>
  <si>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</si>
  <si>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</si>
  <si>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</si>
  <si>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</si>
  <si>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</si>
  <si>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</si>
  <si>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</si>
  <si>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</si>
  <si>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</si>
  <si>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</si>
  <si>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</si>
  <si>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</si>
  <si>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</si>
  <si>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</si>
  <si>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</si>
  <si>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</si>
  <si>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</si>
  <si>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</si>
  <si>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</si>
  <si>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</si>
  <si>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</si>
  <si>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</si>
  <si>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</si>
  <si>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</si>
  <si>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</si>
  <si>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</si>
  <si>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</si>
  <si>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</si>
  <si>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</si>
  <si>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</si>
  <si>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</si>
  <si>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</si>
  <si>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</si>
  <si>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</si>
  <si>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</si>
  <si>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</si>
  <si>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</si>
  <si>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</si>
  <si>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</si>
  <si>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</si>
  <si>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</si>
  <si>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</si>
  <si>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</si>
  <si>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</si>
  <si>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</si>
  <si>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</si>
  <si>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</si>
  <si>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</si>
  <si>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</si>
  <si>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</si>
  <si>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</si>
  <si>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</si>
  <si>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</si>
  <si>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</si>
  <si>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</si>
  <si>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</si>
  <si>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</si>
  <si>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</si>
  <si>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</si>
  <si>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</si>
  <si>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</si>
  <si>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</si>
  <si>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</si>
  <si>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</si>
  <si>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</si>
  <si>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</si>
  <si>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</si>
  <si>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</si>
  <si>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</si>
  <si>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</si>
  <si>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</si>
  <si>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</si>
  <si>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</si>
  <si>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</si>
  <si>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</si>
  <si>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</si>
  <si>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</si>
  <si>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</si>
  <si>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</si>
  <si>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</si>
  <si>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</si>
  <si>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</si>
  <si>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</si>
  <si>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</si>
  <si>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</si>
  <si>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</si>
  <si>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</si>
  <si>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</si>
  <si>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</si>
  <si>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</si>
  <si>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</si>
  <si>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</si>
  <si>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</si>
  <si>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</si>
  <si>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</si>
  <si>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</si>
  <si>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</si>
  <si>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</si>
  <si>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</si>
  <si>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</si>
  <si>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</si>
  <si>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</si>
  <si>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</si>
  <si>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</si>
  <si>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</si>
  <si>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</si>
  <si>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</si>
  <si>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</si>
  <si>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</si>
  <si>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</si>
  <si>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</si>
  <si>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</si>
  <si>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</si>
  <si>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</si>
  <si>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</si>
  <si>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</si>
  <si>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</si>
  <si>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</si>
  <si>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</si>
  <si>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</si>
  <si>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</si>
  <si>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Vicai Ifjúsági Egyesület</t>
  </si>
  <si>
    <t>Delta Testépítő Klub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</si>
  <si>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</si>
  <si>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</si>
  <si>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</si>
  <si>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</si>
  <si>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</si>
  <si>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</si>
  <si>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</si>
  <si>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</si>
  <si>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</si>
  <si>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</si>
  <si>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</si>
  <si>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</si>
  <si>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</si>
  <si>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</si>
  <si>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</si>
  <si>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</si>
  <si>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</si>
  <si>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</si>
  <si>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</si>
  <si>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</si>
  <si>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</si>
  <si>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</si>
  <si>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</si>
  <si>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</si>
  <si>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</si>
  <si>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</si>
  <si>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</si>
  <si>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</si>
  <si>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</si>
  <si>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</si>
  <si>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</si>
  <si>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</si>
  <si>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</si>
  <si>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</si>
  <si>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</si>
  <si>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</si>
  <si>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</si>
  <si>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</si>
  <si>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11. számú melléklet</t>
  </si>
  <si>
    <t>teljesítés</t>
  </si>
  <si>
    <t>Önkormányzat adósságot keletkeztető ügyletekből és kezességvállalásokból fennálló kötelezettségei</t>
  </si>
  <si>
    <t>MEGNEVEZÉS</t>
  </si>
  <si>
    <t>Évek</t>
  </si>
  <si>
    <t>10.</t>
  </si>
  <si>
    <t>ÖSSZES KÖTELEZETTSÉG</t>
  </si>
  <si>
    <t>11.</t>
  </si>
  <si>
    <t>12.</t>
  </si>
  <si>
    <t>13.</t>
  </si>
  <si>
    <t>14.</t>
  </si>
  <si>
    <t>15.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</si>
  <si>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</si>
  <si>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</si>
  <si>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</si>
  <si>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</si>
  <si>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</si>
  <si>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</si>
  <si>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</si>
  <si>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</si>
  <si>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</si>
  <si>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</si>
  <si>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</si>
  <si>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</si>
  <si>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Kedvezmények összesen</t>
  </si>
  <si>
    <t>Étkezési díj</t>
  </si>
  <si>
    <t>Gondozási díj</t>
  </si>
  <si>
    <t>ÁH belüli megelőlegezések visszafizetései</t>
  </si>
  <si>
    <t>6.3</t>
  </si>
  <si>
    <t>Beled Ált.Isk.Diákönk.</t>
  </si>
  <si>
    <t>Lövészklub (MTTSZ)</t>
  </si>
  <si>
    <t>telj. %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</si>
  <si>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</si>
  <si>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</si>
  <si>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</si>
  <si>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</si>
  <si>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</si>
  <si>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</si>
  <si>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</si>
  <si>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</si>
  <si>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</si>
  <si>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</si>
  <si>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</si>
  <si>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</si>
  <si>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Ifjúság utca felújítása</t>
  </si>
  <si>
    <t>Szociális tűzifa (2015. évről áthúzódó)</t>
  </si>
  <si>
    <t>3 a.) Család- és gyermekjóléti szolgálat</t>
  </si>
  <si>
    <t>3 c.) Szociális étkeztetés</t>
  </si>
  <si>
    <t>3 f.) Időskorúak nappali intézményi ellátása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</si>
  <si>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</si>
  <si>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</si>
  <si>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</si>
  <si>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</si>
  <si>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</si>
  <si>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</si>
  <si>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</si>
  <si>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</si>
  <si>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</si>
  <si>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</si>
  <si>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</si>
  <si>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</si>
  <si>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</si>
  <si>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</si>
  <si>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</si>
  <si>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</si>
  <si>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</si>
  <si>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</si>
  <si>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</si>
  <si>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</si>
  <si>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</si>
  <si>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</si>
  <si>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</si>
  <si>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</si>
  <si>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 xml:space="preserve">Finanszírozási műveletek </t>
  </si>
  <si>
    <t>adatok Ft-ban</t>
  </si>
  <si>
    <t>Működési célú költségvetési támogatások és kiegészítő támogatások</t>
  </si>
  <si>
    <t xml:space="preserve">Véglegesen és átmeneti jelleggel átadott pénzeszközök </t>
  </si>
  <si>
    <t>Véglegesen átadott pénzeszközök</t>
  </si>
  <si>
    <t>Közvetített szolgáltatok ellenértéke</t>
  </si>
  <si>
    <t>Vadászati jog bérbeadéséból származó jövedelem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</si>
  <si>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</si>
  <si>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</si>
  <si>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</si>
  <si>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</si>
  <si>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Civil szervezetek támogatása (képviselői felajánlásból)</t>
  </si>
  <si>
    <t>Egyházak támogatása (képviselői felajánlásból)</t>
  </si>
  <si>
    <t>Rendkívüli önkormányzati támogatás (Kvtv. 3. melléklet III. a) pont)</t>
  </si>
  <si>
    <t>Iparűzési adó - állandó jellegggel végzett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</si>
  <si>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</si>
  <si>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</si>
  <si>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</si>
  <si>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</si>
  <si>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</si>
  <si>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</si>
  <si>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Szünidei gyermekétkeztetés (Gyvt. 21/C. §)</t>
  </si>
  <si>
    <t>Beled Sportegyesület "rezsitámogatás"</t>
  </si>
  <si>
    <t>Rendőrörs - Rábakecöl Községi Önkormányzat</t>
  </si>
  <si>
    <t>Tárgyi eszközök értékesítése</t>
  </si>
  <si>
    <t>3 da.) Házi segítégnyújtás - szociális segítés</t>
  </si>
  <si>
    <t>3 db.) Házi segítégnyújtás - személyi gondozás</t>
  </si>
  <si>
    <t>3 jb.) Családi bölcsőde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</si>
  <si>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</si>
  <si>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</si>
  <si>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</si>
  <si>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Forgatási célú értékpapírból származó bevétel</t>
  </si>
  <si>
    <t xml:space="preserve">BERUHÁZÁSOK (ÁFA-val) </t>
  </si>
  <si>
    <t>Beledi Katolikus Egyházközség</t>
  </si>
  <si>
    <t>Beledi Evangélikus Egyházközség</t>
  </si>
  <si>
    <t>III.1. Szociális ágazati összevont pótlék</t>
  </si>
  <si>
    <t>Beled Sportegyesület műfüves pálya műszaki ellenőrzése</t>
  </si>
  <si>
    <t>Önkormányzati vagyongazdálkodással kapcsolatos feladatok</t>
  </si>
  <si>
    <t>Informatikai fejlesztések, szolgáltatások</t>
  </si>
  <si>
    <t>Biztosítás kárfizetés</t>
  </si>
  <si>
    <t>2.8</t>
  </si>
  <si>
    <t>Természetbeni támogatás Gyvt. 20/a §. (Erzsébet utalvány)</t>
  </si>
  <si>
    <t>Magyar Technikai és Tömegsport Szövetség Beledi Klubja</t>
  </si>
  <si>
    <t>Önkormányzaton belül megvalósuló projektek (támogatási szerződéssel rendelkező)</t>
  </si>
  <si>
    <t xml:space="preserve">Bevételek </t>
  </si>
  <si>
    <t xml:space="preserve">Kiadások </t>
  </si>
  <si>
    <t>Projekt megvalósítás</t>
  </si>
  <si>
    <t>Beled Város Középületeinek energetikai korszerűsítése</t>
  </si>
  <si>
    <t>Összes bevétel</t>
  </si>
  <si>
    <t>Összes kiadás</t>
  </si>
  <si>
    <t>Helyi termelői piac kialakítása Beleden</t>
  </si>
  <si>
    <t xml:space="preserve">Támogatás </t>
  </si>
  <si>
    <t>Közlekedésfejlesztés Beled városában</t>
  </si>
  <si>
    <t>Beled Város Önkormányzata ASP központhoz való csatlakozása</t>
  </si>
  <si>
    <t>Saját forrás</t>
  </si>
  <si>
    <t>Emberi Erőforrás Támogatáskezelő</t>
  </si>
  <si>
    <t>Fidesz-Magyar Polgári Szövetség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</si>
  <si>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</si>
  <si>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</si>
  <si>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</si>
  <si>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</si>
  <si>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Közúti személyszállítás (kerékpárút)</t>
  </si>
  <si>
    <t>Lakásfenntartással, lakhatással összefüggő ellátások (szociális tűzifa)</t>
  </si>
  <si>
    <t>Államháztartáson belüli megelőlegezés</t>
  </si>
  <si>
    <t>Szociális tűzifa (2017)</t>
  </si>
  <si>
    <t>Beledi Szociális és Gyermekjóléti Társulás 2017. évi hozzájárulás elszámolás</t>
  </si>
  <si>
    <t>TOP-3.2.1-15-GM1-2017-00033</t>
  </si>
  <si>
    <t>TOP-1.1.3-15-GM1-2017-00008</t>
  </si>
  <si>
    <t>TOP-3.1.1-15GM1-2017-00013</t>
  </si>
  <si>
    <t>fűnyíró beszerzése óvodába</t>
  </si>
  <si>
    <t xml:space="preserve">2. számú melléklet </t>
  </si>
  <si>
    <t xml:space="preserve">3. számú melléklet </t>
  </si>
  <si>
    <t xml:space="preserve">4. számú melléklet </t>
  </si>
  <si>
    <t xml:space="preserve">TOP-3.1.1-15-GM1-2016-00013 Közlekedésfejlesztés Beled városában </t>
  </si>
  <si>
    <t>Kerékpártároló kialakítása</t>
  </si>
  <si>
    <t>EFOP-1.5.2 eszközbeszerzések</t>
  </si>
  <si>
    <t xml:space="preserve">TOP-3.2.1-15-GM1-2016-00033 Beled Város középületeinek energetikai korszerűsítése </t>
  </si>
  <si>
    <t>Óvoda felújítása</t>
  </si>
  <si>
    <t>Járdafelújítás BM pályázat</t>
  </si>
  <si>
    <t>EFOP-1.5.2 művelődési ház felújítása</t>
  </si>
  <si>
    <t>H</t>
  </si>
  <si>
    <t>TOP pályázat - Piac kialakítása</t>
  </si>
  <si>
    <t>TOP pályázat - Kerékpárút kialakítása</t>
  </si>
  <si>
    <t>TOP pályázat- energetikai korszerűsítés</t>
  </si>
  <si>
    <t>Intézményen kívüli gyermekétkeztetés (szünidei)</t>
  </si>
  <si>
    <t>EFOP-1.5.2 pályázat - Humán szolgáltatások fejlesztése</t>
  </si>
  <si>
    <t>Beled Sportegyesület</t>
  </si>
  <si>
    <t>Fogorvosi ügyelet Soproni Szociális Intézmény</t>
  </si>
  <si>
    <t>Mozgáskorlátozottak Győr-Moson-Sopron Megyei Egyesülete</t>
  </si>
  <si>
    <t>ASP rendszer működtetésében résztvevők támogatása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</si>
  <si>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</si>
  <si>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</si>
  <si>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</si>
  <si>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</si>
  <si>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</si>
  <si>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</si>
  <si>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C</t>
  </si>
  <si>
    <t>D</t>
  </si>
  <si>
    <t>E</t>
  </si>
  <si>
    <t>G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</si>
  <si>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</si>
  <si>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</si>
  <si>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</si>
  <si>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</si>
  <si>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</si>
  <si>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</si>
  <si>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2017. évi Pünkösdi Fesztivál előkészítése, lebonyolítása 152/2016. (XII. 21.) határozat szerint</t>
  </si>
  <si>
    <t>TOP-3.1.1-15 Kerékpárút építése</t>
  </si>
  <si>
    <t>Felújítási kiadások felújításonként</t>
  </si>
  <si>
    <t>TOP-3.2.1-15 Beled város középületeinek energetikai korszerűsítése (konyha, hivatal épülete)</t>
  </si>
  <si>
    <t>16.</t>
  </si>
  <si>
    <t>17.</t>
  </si>
  <si>
    <t>Egyéb (Pl.: garancia és kezességvállalás, stb.)</t>
  </si>
  <si>
    <t>18.</t>
  </si>
  <si>
    <t>2019.</t>
  </si>
  <si>
    <t>2020.</t>
  </si>
  <si>
    <t>2017</t>
  </si>
  <si>
    <t>Járdafelújítás BM pályázat (támogatás összege 15 mFt)</t>
  </si>
  <si>
    <t xml:space="preserve">Összesen </t>
  </si>
  <si>
    <t>Hiteltörlesztés (2016. évi)</t>
  </si>
  <si>
    <t xml:space="preserve">1. számú melléklet </t>
  </si>
  <si>
    <t>Elszámolásból származó bevétel</t>
  </si>
  <si>
    <t>Magyar Máltai Szeretetszolgálat</t>
  </si>
  <si>
    <t>Önkormányzati bérkompenzáció</t>
  </si>
  <si>
    <t>Települési önkormányzatok szociális célú tüzelőanyag vásárlásának kiegészítő támogatása</t>
  </si>
  <si>
    <t xml:space="preserve">5.2 számú melléklet </t>
  </si>
  <si>
    <t xml:space="preserve">5.1 számú melléklet </t>
  </si>
  <si>
    <t>Országos Mentőszolgálat Alapítvány</t>
  </si>
  <si>
    <t>Út, autópálya építése</t>
  </si>
  <si>
    <t>Egyéb szociális ellátások (szociális tűzifa)</t>
  </si>
  <si>
    <t>Beledi Általános Iskola Diákjaiért Közalapítvány 2017. évi áthúzódó</t>
  </si>
  <si>
    <t>Telepüési Önkormányzatok Országos Szövetsége</t>
  </si>
  <si>
    <t>Magyar Védőnők Egyesülete</t>
  </si>
  <si>
    <t xml:space="preserve">Beledi Általános Iskola Diákjaiért Közalapítvány </t>
  </si>
  <si>
    <t>Téli Rezsicsökkentésben korábban nem részesült háztartások támogatása</t>
  </si>
  <si>
    <t>Szociális tüzelőanyag támogatása</t>
  </si>
  <si>
    <t>VP6-7.2.1-7.4.1.2-16 kódszámú "A vidéki térségek kismértékű infrastruktúrájának és alapvető szolgáltatásainak fejlesztésére - Külterületi helyi közutak fejlesztése, önkormányzati utak kezeléséhez, állapotjavításához szükséges erő- és munkagépek beszerzése. Támogatás összege: 19.340.856</t>
  </si>
  <si>
    <t>Óvoda épületének felújítása</t>
  </si>
  <si>
    <t xml:space="preserve">Európai Uniós támogatással megvalósuló  programok, projektek bevételei és kiadásai  </t>
  </si>
  <si>
    <t>VP6-7.2.1-7.4.1.2-16</t>
  </si>
  <si>
    <t>A vidéki térségek kismértékű infrastruktúrájának és alapvető szolgáltatásainak fejlesztésére - Külterületi helyi közutak fejlesztése, önkormányzati utak kezeléséhez, állapotjavításához szükséges erő- és munkagépek beszerzése (konzorciumban Dénesfa Község Önkormányzatával)</t>
  </si>
  <si>
    <t>Önkormányzat 2019. évi kiadási előirányzatai</t>
  </si>
  <si>
    <t>Önkormányzat 2019. évi bevételi előirányzatai</t>
  </si>
  <si>
    <t>Önkormányzat összevont 2019. évi bevételi előirányzatai</t>
  </si>
  <si>
    <t>2019. évi belső forrásból fedezhető működési hiány</t>
  </si>
  <si>
    <t xml:space="preserve">2019. évi belső  forrásból fedezhető felhalmozási hiány </t>
  </si>
  <si>
    <t>2019. évi belső forrásból fedezhető összes hiány (1.+2.)</t>
  </si>
  <si>
    <t xml:space="preserve">2019. évi külső forrásból fedezhető működési hiány </t>
  </si>
  <si>
    <t xml:space="preserve">2019. évi külső forrásból fedezhető felhalmozási hiány </t>
  </si>
  <si>
    <t>2019. évi külső forrásból fedezhető összes hiány (1.+2.)</t>
  </si>
  <si>
    <t>Önkormányzat költségvetési szerveinek 2019. évi létszámkerete</t>
  </si>
  <si>
    <t>2019. január 1.</t>
  </si>
  <si>
    <t>2019. december 31.</t>
  </si>
  <si>
    <t xml:space="preserve">2019. év </t>
  </si>
  <si>
    <t>2019. év</t>
  </si>
  <si>
    <t>Beledi Szociális és Gyermekjóléti Társulás 2019. évi hozzájárulás</t>
  </si>
  <si>
    <t>2019. évi előirányzat</t>
  </si>
  <si>
    <t>A 2019. évi általános működési és ágazati feladatok támogatásának alakulása jogcímenként</t>
  </si>
  <si>
    <t>Kulturális ágazati pótlék (8/2019. (I. 23.) Korm.rendelet)</t>
  </si>
  <si>
    <t>2019. előtti kifizetés</t>
  </si>
  <si>
    <t>KÖFOP-1.2.1-VEKOP-16-2019-00870</t>
  </si>
  <si>
    <t>2 db csecsemőmérleg</t>
  </si>
  <si>
    <t>1 dbmagzati szívhanghallgató</t>
  </si>
  <si>
    <t>1 db hallásvizsgáló</t>
  </si>
  <si>
    <t>1 db hosszmérő</t>
  </si>
  <si>
    <t>1 db személymérleg</t>
  </si>
  <si>
    <t>nyomtató védőnői szolgálat részére</t>
  </si>
  <si>
    <t>iskolai pálya körbekerítése</t>
  </si>
  <si>
    <t>településrendezési terv</t>
  </si>
  <si>
    <t>WC konténer beszerzése</t>
  </si>
  <si>
    <t>jármű beszerzése</t>
  </si>
  <si>
    <t>díszkút beszerzése</t>
  </si>
  <si>
    <t>szabadidőpark járda</t>
  </si>
  <si>
    <t>Ifjúság utca tervezése</t>
  </si>
  <si>
    <t>Vörösmarty utca térkő vásárlása</t>
  </si>
  <si>
    <t>Járdafelújítás (áthúzódó térkő vásárlása)</t>
  </si>
  <si>
    <t>Járda- és útfelújítás (művház járda+út kivitelezése)</t>
  </si>
  <si>
    <t>vírusirtó szoftver</t>
  </si>
  <si>
    <t>szerver hardver</t>
  </si>
  <si>
    <t>szerver szoftver</t>
  </si>
  <si>
    <t>kisértékű tárgyi eszközök beszerzése</t>
  </si>
  <si>
    <t>digitális mérleg</t>
  </si>
  <si>
    <t>szúnyoghálók konyhára</t>
  </si>
  <si>
    <t>kisértékű tárgyi eszközök beszerzése bölcsődébe</t>
  </si>
  <si>
    <t>asztalok, kiadó pult konyhára</t>
  </si>
  <si>
    <t>Homokozó gumilappal, árnyékoló + homoktakaró bölcsődébe</t>
  </si>
  <si>
    <t>irodai szék beszerzése művelődési házba</t>
  </si>
  <si>
    <t>Beled Város Önkéntes Tűzoltó Egyesülete</t>
  </si>
  <si>
    <t>"Előre" Horgászegyesület</t>
  </si>
  <si>
    <t>01. Helyi önkormányzatok működésének általános támogatása</t>
  </si>
  <si>
    <t>III.6.a. Bölcsőde bértámogatás</t>
  </si>
  <si>
    <t>III.6.b. Bölcsőde üzemeltetési támogatás</t>
  </si>
  <si>
    <t>2021.</t>
  </si>
  <si>
    <t>2021. után</t>
  </si>
  <si>
    <t>2018</t>
  </si>
  <si>
    <t>2019. május 2.</t>
  </si>
  <si>
    <t>I.6. 2019. évi bérkompenzáció</t>
  </si>
  <si>
    <t>Magyar Államkincstár TOP-1.1.3-15-GM1-2016-00008 Helyi termelői piac kialakítása támogatás visszafizetése</t>
  </si>
  <si>
    <t>könyvtári érdekeltségnövelő támogatás</t>
  </si>
  <si>
    <t>EFOP-1.5.2-16-2017-00023</t>
  </si>
  <si>
    <t>Beled és térsége humán szolgáltatásainak fejlesztése</t>
  </si>
  <si>
    <t>EFOP-1.5.2-16-2017-00023 Beled és térsége humán szolgáltatásainak fejlesztése</t>
  </si>
  <si>
    <t>Vörösmarty utca járdaépítés</t>
  </si>
  <si>
    <t>MFP Vicai faluház újraépítése</t>
  </si>
  <si>
    <t>MFP - Egészségház felújítása</t>
  </si>
  <si>
    <t>Településfejlesztési projektek és támogatásuk</t>
  </si>
  <si>
    <t>EFOP-1.5.2-16-2017-00023 lakhatási támogatás</t>
  </si>
  <si>
    <t>A minimálbér és a garantált bérminimum emelésével kapcsolatos intézkedésekről szóló 1354/2019. (VI. 14.) Korm. Határozat szerinti támogatás</t>
  </si>
  <si>
    <t>Kulturális feladatok támogatása</t>
  </si>
  <si>
    <t>Fénydekorációs elemek</t>
  </si>
  <si>
    <t>Hűtőszekrény beszerzés védőnők számára</t>
  </si>
  <si>
    <t>sövényvágó</t>
  </si>
  <si>
    <t>konyhára eszközök beszerzése</t>
  </si>
  <si>
    <t>Iskkola+tornacsarnok fűtéskorszerűsítés</t>
  </si>
  <si>
    <t>Mikrohullámú sütő beszerzése</t>
  </si>
  <si>
    <t>Tálcacsúsztató falipolc konyhára</t>
  </si>
  <si>
    <t>Óvodai fektetők beszerzése (25 db)</t>
  </si>
  <si>
    <t>Porszívó beszerzése művelődési házba</t>
  </si>
  <si>
    <t>Laminálógép beszerzése művelődési házba</t>
  </si>
  <si>
    <t>Tablet bölcsődébe</t>
  </si>
  <si>
    <t>hangosító,porszívó, fényképezőgép, iratmegsemmisítő óvodába</t>
  </si>
  <si>
    <t>informatikai eszközök beszerzése</t>
  </si>
  <si>
    <t>MFP útfelújítás</t>
  </si>
  <si>
    <t>MFP óvodaudvar - kerítésfelújítás</t>
  </si>
  <si>
    <t>Közfoglalkoztatás</t>
  </si>
  <si>
    <t>Piac üzemeltetése</t>
  </si>
  <si>
    <t>Komplex környezetvédelmi programok támogatása (KEHOP)</t>
  </si>
  <si>
    <t>Szociális ellátások (tűzifa, téli rezsicsökkentés)</t>
  </si>
  <si>
    <t>Mosonmagyaróvár Nagytérségi Hulladékgazdálkodási Önkormányzat Társulás</t>
  </si>
  <si>
    <t>"Előre" Horgász Egyesület</t>
  </si>
  <si>
    <t>"Előre" Horgász Egyesület 2017. évről áthúzódó</t>
  </si>
  <si>
    <t>Rábaköz Vidékfejlesztési Egyesület</t>
  </si>
  <si>
    <t>KEHOP-1.2.1-18-2018-00148</t>
  </si>
  <si>
    <t xml:space="preserve"> Szövetségben az éghajlat védelméért Beled és Répceszemere településeken</t>
  </si>
  <si>
    <t xml:space="preserve">ebből: </t>
  </si>
  <si>
    <t>2017-2019</t>
  </si>
  <si>
    <t>19.</t>
  </si>
  <si>
    <t>20.</t>
  </si>
  <si>
    <t>21.</t>
  </si>
  <si>
    <t>VP6-7.2.1-7.4.1.2-16 mezőgazdasági gépbeszerzések</t>
  </si>
  <si>
    <t>VAGYONKIMUTATÁS            az érték nélkül nyilvántartott eszközökről                                                                                                                                           2019. év</t>
  </si>
  <si>
    <t>Beled Város Önkormányzata</t>
  </si>
  <si>
    <t>Adatok: forintban!</t>
  </si>
  <si>
    <t>Mennyiség
(db)</t>
  </si>
  <si>
    <t>Bruttó értéke</t>
  </si>
  <si>
    <t>Könyv szerinti értéke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</si>
  <si>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</si>
  <si>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</si>
  <si>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</si>
  <si>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</si>
  <si>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</si>
  <si>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</si>
  <si>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</si>
  <si>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</si>
  <si>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</si>
  <si>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</si>
  <si>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</si>
  <si>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</si>
  <si>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</si>
  <si>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</si>
  <si>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</si>
  <si>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</si>
  <si>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</si>
  <si>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</si>
  <si>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</si>
  <si>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</si>
  <si>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</si>
  <si>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</si>
  <si>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</si>
  <si>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</si>
  <si>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</si>
  <si>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</si>
  <si>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</si>
  <si>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</si>
  <si>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</si>
  <si>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</si>
  <si>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(1+…+4)+5+10+14+(18+…+31):</t>
  </si>
  <si>
    <t>VAGYONKIMUTATÁS                 az érték nélkül nyilvántartott eszközökről                                                                                                                                           2019. év</t>
  </si>
  <si>
    <t>Beledi Közös Önkormányzati Hivatal</t>
  </si>
  <si>
    <t>VAGYONKIMUTATÁS     az érték nélkül nyilvántartott eszközökről                                                                                                                                           2019. év</t>
  </si>
  <si>
    <t>Maradványkimutatás</t>
  </si>
  <si>
    <t>Közös Hivatal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</si>
  <si>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</si>
  <si>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</si>
  <si>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</si>
  <si>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</si>
  <si>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</si>
  <si>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 xml:space="preserve">Alaptevékenység finanszírozási egyenlege </t>
  </si>
  <si>
    <t xml:space="preserve">Alaptevékenység maradványa </t>
  </si>
  <si>
    <t xml:space="preserve">Összes maradvány </t>
  </si>
  <si>
    <t>Alaptevékenység kötelezettségvállalással terhelt maradványa</t>
  </si>
  <si>
    <t xml:space="preserve">Alaptevékenység szabad maradványa </t>
  </si>
  <si>
    <t>Adatok:  forintban!</t>
  </si>
  <si>
    <t>ESZKÖZÖK</t>
  </si>
  <si>
    <t>Bruttó</t>
  </si>
  <si>
    <t>Nettó</t>
  </si>
  <si>
    <t xml:space="preserve"> érték</t>
  </si>
  <si>
    <t xml:space="preserve">A </t>
  </si>
  <si>
    <t xml:space="preserve"> I. Immateriális javak (02+03+04+05)</t>
  </si>
  <si>
    <t>01.</t>
  </si>
  <si>
    <t>1.1. Forgalomképtelen immateriális javak</t>
  </si>
  <si>
    <t>02.</t>
  </si>
  <si>
    <t>1.2. Nemzetgazdasági szempontból kiemelt jelentőségű  immateriális javak
       vagyoni értékű jogok</t>
  </si>
  <si>
    <t>03.</t>
  </si>
  <si>
    <t>1.3. Korlátozottan forgalomképes immateriális javak</t>
  </si>
  <si>
    <t>04.</t>
  </si>
  <si>
    <t>1.4. Üzleti ingatlanok és kapcsolódó  immateriális javak</t>
  </si>
  <si>
    <t>05.</t>
  </si>
  <si>
    <t>II. Tárgyi eszközök (07+12+17+22+27)</t>
  </si>
  <si>
    <t>06.</t>
  </si>
  <si>
    <t>1. Ingatlanok és kapcsolódó vagyoni értékű jogok   (08+09+10+11)</t>
  </si>
  <si>
    <t>07.</t>
  </si>
  <si>
    <t>1.1. Forgalomképtelen ingatlanok és kapcsolódó vagyoni értékű jogok</t>
  </si>
  <si>
    <t>08.</t>
  </si>
  <si>
    <t>1.2. Nemzetgazdasági szempontból kiemelt jelentőségű ingatlanok és kapcsolódó 
       vagyoni értékű jogok</t>
  </si>
  <si>
    <t>09.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</si>
  <si>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</si>
  <si>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</si>
  <si>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(13+14+15+16)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</si>
  <si>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</si>
  <si>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</si>
  <si>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</si>
  <si>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</si>
  <si>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(18+19+20+21)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</si>
  <si>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</si>
  <si>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</si>
  <si>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</si>
  <si>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</si>
  <si>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(23+24+25+26)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</si>
  <si>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</si>
  <si>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</si>
  <si>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</si>
  <si>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</si>
  <si>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(28+29+30+31)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</si>
  <si>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</si>
  <si>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</si>
  <si>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</si>
  <si>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</si>
  <si>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(33+38+43)</t>
  </si>
  <si>
    <t>1. Tartós részesedések (34+35+36+37)</t>
  </si>
  <si>
    <t>1.1. Forgalomképtelen tartós részesedések</t>
  </si>
  <si>
    <t>34.</t>
  </si>
  <si>
    <t>1.2. Nemzetgazdasági szempontból kiemelt jelentőségű tartós részesedések</t>
  </si>
  <si>
    <t>35.</t>
  </si>
  <si>
    <t>1.3. Korlátozottan forgalomképes tartós részesedések</t>
  </si>
  <si>
    <t>36.</t>
  </si>
  <si>
    <t>1.4. Üzleti tartós részesedések</t>
  </si>
  <si>
    <t>37.</t>
  </si>
  <si>
    <t>2. Tartós hitelviszonyt megtestesítő értékpapírok (39+40+41+42)</t>
  </si>
  <si>
    <t>38.</t>
  </si>
  <si>
    <t>2.1. Forgalomképtelen tartós hitelviszonyt megtestesítő értékpapírok</t>
  </si>
  <si>
    <t>39.</t>
  </si>
  <si>
    <t>2.2. Nemzetgazdasági szempontból kiemelt jelentőségű tartós hitelviszonyt 
       megtestesítő értékpapírok</t>
  </si>
  <si>
    <t>40.</t>
  </si>
  <si>
    <t>2.3. Korlátozottan forgalomképes tartós hitelviszonyt megtestesítő értékpapírok</t>
  </si>
  <si>
    <t>41.</t>
  </si>
  <si>
    <t>2.4. Üzleti tartós hitelviszonyt megtestesítő értékpapírok</t>
  </si>
  <si>
    <t>42.</t>
  </si>
  <si>
    <t>3. Befektetett pénzügyi eszközök értékhelyesbítése (44+45+46+47)</t>
  </si>
  <si>
    <t>43.</t>
  </si>
  <si>
    <t>3.1. Forgalomképtelen befektetett pénzügyi eszközök értékhelyesbítése</t>
  </si>
  <si>
    <t>44.</t>
  </si>
  <si>
    <t>3.2. Nemzetgazdasági szempontból kiemelt jelentőségű befektetett pénzügyi 
       eszközök értékhelyesbítése</t>
  </si>
  <si>
    <t>45.</t>
  </si>
  <si>
    <t>3.3. Korlátozottan forgalomképes befektetett pénzügyi eszközök értékhelyesbítése</t>
  </si>
  <si>
    <t>46.</t>
  </si>
  <si>
    <t>3.4. Üzleti befektetett pénzügyi eszközök értékhelyesbítése</t>
  </si>
  <si>
    <t>47.</t>
  </si>
  <si>
    <t>IV. Koncesszióba, vagyonkezelésbe adott eszközök</t>
  </si>
  <si>
    <t>48.</t>
  </si>
  <si>
    <t>A) NEMZETI VAGYONBA TARTOZÓ BEFEKTETETT ESZKÖZÖK 
     (01+06+32+48)</t>
  </si>
  <si>
    <t>49.</t>
  </si>
  <si>
    <t>I. Készletek</t>
  </si>
  <si>
    <t>50.</t>
  </si>
  <si>
    <t>II. Értékpapírok</t>
  </si>
  <si>
    <t>51.</t>
  </si>
  <si>
    <t>B) NEMZETI VAGYONBA TARTOZÓ FORGÓESZKÖZÖK (50+51)</t>
  </si>
  <si>
    <t>52.</t>
  </si>
  <si>
    <t>I. Lekötött bankbetétek</t>
  </si>
  <si>
    <t>53.</t>
  </si>
  <si>
    <t>II. Pénztárak, csekkek, betétkönyvek</t>
  </si>
  <si>
    <t>54.</t>
  </si>
  <si>
    <t>III. Forintszámlák</t>
  </si>
  <si>
    <t>55.</t>
  </si>
  <si>
    <t>IV. Devizaszámlák</t>
  </si>
  <si>
    <t>56.</t>
  </si>
  <si>
    <t>V. Idegen pénzeszköz</t>
  </si>
  <si>
    <t>57.</t>
  </si>
  <si>
    <t>C) PÉNZESZKÖZÖK (53+54+55+56+57)</t>
  </si>
  <si>
    <t>58.</t>
  </si>
  <si>
    <t>I. Költségvetési évben esedékes követelések</t>
  </si>
  <si>
    <t>59.</t>
  </si>
  <si>
    <t>II. Költségvetési évet követően esedékes követelések</t>
  </si>
  <si>
    <t>60.</t>
  </si>
  <si>
    <t>III. Követelés jellegű sajátos elszámolások</t>
  </si>
  <si>
    <t>61.</t>
  </si>
  <si>
    <t>D) KÖVETELÉSEK (59+60+61)</t>
  </si>
  <si>
    <t>62.</t>
  </si>
  <si>
    <t>I. December havi illetmények, munkabérek elszámolása</t>
  </si>
  <si>
    <t>63.</t>
  </si>
  <si>
    <t>II. Utalványok, bérletek és más hasonló, készpénz-helyettesítő fizetési 
     eszköznek nem minősülő eszközök elszámolásai</t>
  </si>
  <si>
    <t>64.</t>
  </si>
  <si>
    <t>E) EGYÉB SAJÁTOS ESZKÖZOLDALI ELSZÁMOLÁSOK (63+64)</t>
  </si>
  <si>
    <t>65.</t>
  </si>
  <si>
    <t>F) AKTÍV IDŐBELI ELHATÁROLÁSOK</t>
  </si>
  <si>
    <t>66.</t>
  </si>
  <si>
    <t>ESZKÖZÖK ÖSSZESEN  (49+52+58+62+65+66)</t>
  </si>
  <si>
    <t>67.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</si>
  <si>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</si>
  <si>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</si>
  <si>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</si>
  <si>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</si>
  <si>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</si>
  <si>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</si>
  <si>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</si>
  <si>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</si>
  <si>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</si>
  <si>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</si>
  <si>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</si>
  <si>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</si>
  <si>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</si>
  <si>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</si>
  <si>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</si>
  <si>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</si>
  <si>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16. számú melléklet</t>
  </si>
  <si>
    <t>Az önkormányzat által felvett adósságállomány alakulása</t>
  </si>
  <si>
    <t>lejárat és eszközök szerinti bontásban</t>
  </si>
  <si>
    <t xml:space="preserve">Adatok  forintban </t>
  </si>
  <si>
    <t>Hitel jellege</t>
  </si>
  <si>
    <t>Hitel folyósítója</t>
  </si>
  <si>
    <t>Felvétel</t>
  </si>
  <si>
    <t xml:space="preserve">Lejárat </t>
  </si>
  <si>
    <t>Hitelállomány dec. 31-én</t>
  </si>
  <si>
    <t xml:space="preserve"> éve</t>
  </si>
  <si>
    <t>éve</t>
  </si>
  <si>
    <t xml:space="preserve">Működési célú </t>
  </si>
  <si>
    <t>Igénybevett folyószámla hitel</t>
  </si>
  <si>
    <t>Felhalmozási célú</t>
  </si>
  <si>
    <t>Fejlesztési célú hosszú lejáratú hitel Ifjúság utca útfelújításához</t>
  </si>
  <si>
    <t>Kis-Rába Menti Tak.Szöv.</t>
  </si>
  <si>
    <t>2016.</t>
  </si>
  <si>
    <t>Gazdasági Társaság</t>
  </si>
  <si>
    <t>Részesedések állománya</t>
  </si>
  <si>
    <t>Pannon-Víz Zrt.</t>
  </si>
  <si>
    <t>Beled COOP Kereskedelmi és Szolgáltató Rt</t>
  </si>
  <si>
    <t>22. számú melléklet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</si>
  <si>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</si>
  <si>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</si>
  <si>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Forintszámla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</si>
  <si>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</si>
  <si>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r>
      <t xml:space="preserve"> </t>
    </r>
    <r>
      <rPr>
        <sz val="10"/>
        <rFont val="Times New Roman CE"/>
        <family val="1"/>
      </rPr>
      <t>Devizaszámla egyenlege</t>
    </r>
  </si>
  <si>
    <r>
      <t xml:space="preserve"> </t>
    </r>
    <r>
      <rPr>
        <sz val="10"/>
        <rFont val="Times New Roman CE"/>
        <family val="1"/>
      </rPr>
      <t>Lekötött bankbetétek</t>
    </r>
  </si>
  <si>
    <t>Részesedések 2019.12.31.-i állománya</t>
  </si>
  <si>
    <t>VAGYONKIMUTATÁS                                                                                                                                                                                            a könyvviteli mérlegben  értékkel szereplő eszközökről                                                                                                                              2019. év</t>
  </si>
  <si>
    <t>Előző időszak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</si>
  <si>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</si>
  <si>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</si>
  <si>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</si>
  <si>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</si>
  <si>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</si>
  <si>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</si>
  <si>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</si>
  <si>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</si>
  <si>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</si>
  <si>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</si>
  <si>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</si>
  <si>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</si>
  <si>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</si>
  <si>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</si>
  <si>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</si>
  <si>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</si>
  <si>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</si>
  <si>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</si>
  <si>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</si>
  <si>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</si>
  <si>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</si>
  <si>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</si>
  <si>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</si>
  <si>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</si>
  <si>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</si>
  <si>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</si>
  <si>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</si>
  <si>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D/I/4c - ebből: költségvetési évben esedékes követelések ellátási díjakra</t>
  </si>
  <si>
    <t>D/I/4d - ebből: költségvetési évben esedékes követelések kiszámlázott általános forgalmi adóra</t>
  </si>
  <si>
    <t>D/I Költségvetési évben esedékes követelések (=D/I/1+…+D/I/8)</t>
  </si>
  <si>
    <t>D/III/1 Adott előlegek (=D/III/1a+…+D/III/1f)</t>
  </si>
  <si>
    <t>D/III/1c - ebből: készletekre adott előlegek</t>
  </si>
  <si>
    <t>D/III/1e - ebből: foglalkoztatottaknak adott előlegek</t>
  </si>
  <si>
    <t>D/III/4 Forgótőke elszámolása</t>
  </si>
  <si>
    <t>D/III/5 Vagyonkezelésbe adott eszközökkel kapcsolatos visszapótlási követelés elszámolása</t>
  </si>
  <si>
    <t>D/III Követelés jellegű sajátos elszámolások (=D/III/1+…+D/III/9)</t>
  </si>
  <si>
    <t>D) KÖVETELÉSEK  (=D/I+D/II+D/III)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</si>
  <si>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</si>
  <si>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</si>
  <si>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</si>
  <si>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</si>
  <si>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</si>
  <si>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</si>
  <si>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</si>
  <si>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</si>
  <si>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</si>
  <si>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</si>
  <si>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</si>
  <si>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H/I/3 Költségvetési évben esedékes kötelezettségek dologi kiadásokra</t>
  </si>
  <si>
    <t>H/I/7 Költségvetési évben esedékes kötelezettségek felújításokra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</si>
  <si>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</si>
  <si>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</si>
  <si>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</si>
  <si>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</si>
  <si>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</si>
  <si>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</si>
  <si>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</si>
  <si>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</si>
  <si>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</si>
  <si>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</si>
  <si>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</si>
  <si>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</si>
  <si>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</si>
  <si>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</si>
  <si>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Konszolidált mérleg</t>
  </si>
  <si>
    <t>12. számú melléklet</t>
  </si>
  <si>
    <t>Mérleg</t>
  </si>
  <si>
    <t>Pénzkészlet 2019. január 1-jén
ebből:</t>
  </si>
  <si>
    <t>Záró pénzkészlet 2019. december 31-én
ebből:</t>
  </si>
  <si>
    <t>Beled Város Önkormányata</t>
  </si>
  <si>
    <t>adósságot keletkeztető ügyleteiből eredő fizetési kötelezettség bemutatása</t>
  </si>
  <si>
    <t>Tárgyi eszközök, ingatlanok értékesítése</t>
  </si>
  <si>
    <t>Kezességvállalással kapcsolatos megtérülés</t>
  </si>
  <si>
    <t>Saját bevételek 50 %-a</t>
  </si>
  <si>
    <t>Adósságot keletkeztető ügyletek értéke</t>
  </si>
  <si>
    <t>Hitel felvételből származó tőketartozás</t>
  </si>
  <si>
    <t>Hitelfelvétel</t>
  </si>
  <si>
    <t>Adósságot keletkeztető ügyletek összértéke</t>
  </si>
  <si>
    <t>Előző év(ek)ben keletkezett tárgyévet fizetési kötelzettség</t>
  </si>
  <si>
    <t>Tőkefizetési kötelezettség (2016. évi fejlesztési hitelfelvétel)</t>
  </si>
  <si>
    <t>Kamatfizetési kötelezettség (2016. évi fejlesztési hitelfelvétel)</t>
  </si>
  <si>
    <t>Egyéb fizetési kötelezettség (kezelési költség stb.)</t>
  </si>
  <si>
    <t>Előző év(ek)ben keletkezett tárgyévet fizetési kötelzettség összesen</t>
  </si>
  <si>
    <t>Tárgyévi fizetési kötelzettség</t>
  </si>
  <si>
    <t>Tőkefizetési kötelezettség</t>
  </si>
  <si>
    <t xml:space="preserve">Kamatfizetési kötelezettség </t>
  </si>
  <si>
    <t>Tárgyévi fizetési kötelzettség összesen</t>
  </si>
  <si>
    <t>Fizetési kötelezettséggel csökkentett saját bevétel</t>
  </si>
  <si>
    <t>2019. évi ügyletből származó érték</t>
  </si>
  <si>
    <t>2019. év előtti  ügyletből származó érték</t>
  </si>
  <si>
    <t>kapott támogatás</t>
  </si>
  <si>
    <t>elszámolás szerint megillető támogatás</t>
  </si>
  <si>
    <t>felhasznált támogatás</t>
  </si>
  <si>
    <t>következő évben jogszerűen felhasználható támogatási összeg</t>
  </si>
  <si>
    <t>támogatás kiutalás (+) / visszafizetés (-)</t>
  </si>
  <si>
    <t>Az önkormányzat által a 2018. évben fel nem használt, de 2019. évben jogszerűen felhasználható összeg</t>
  </si>
  <si>
    <t>A téli rezsicsökkentésben korábban nem részesült, a vezetékes gáz- vagy távfűtéstől eltérő fűtőanyagot használó háztartások egyszeri támogatása</t>
  </si>
  <si>
    <t xml:space="preserve">6/b. számú melléklet </t>
  </si>
  <si>
    <t xml:space="preserve">7. számú melléklet </t>
  </si>
  <si>
    <t xml:space="preserve">8. számú melléklet  </t>
  </si>
  <si>
    <t xml:space="preserve">9. számú melléklet </t>
  </si>
  <si>
    <t>10. számú melléklet</t>
  </si>
  <si>
    <t>14. számú melléklet</t>
  </si>
  <si>
    <t xml:space="preserve">15. számú melléklet </t>
  </si>
  <si>
    <t>17. melléklet</t>
  </si>
  <si>
    <t xml:space="preserve">18. számú melléklet </t>
  </si>
  <si>
    <t>19. számú melléklet</t>
  </si>
  <si>
    <t xml:space="preserve">23. számú melléklet 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</si>
</sst>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General\ &quot; fő&quot;"/>
    <numFmt numFmtId="169" formatCode="#,###"/>
    <numFmt numFmtId="170" formatCode="#,##0_ ;\-#,##0\ "/>
    <numFmt numFmtId="171" formatCode="#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"/>
    <numFmt numFmtId="177" formatCode="[$€-2]\ #\ ##,000_);[Red]\([$€-2]\ #\ ##,000\)"/>
    <numFmt numFmtId="178" formatCode="###\ ###\ ###\ ###\ ##0.00"/>
    <numFmt numFmtId="179" formatCode="#,###__"/>
    <numFmt numFmtId="180" formatCode="00"/>
    <numFmt numFmtId="181" formatCode="#,###__;\-#,###__"/>
    <numFmt numFmtId="182" formatCode="#,###\ _F_t;\-#,###\ _F_t"/>
    <numFmt numFmtId="183" formatCode="#,###,_F_t;\-#,###,_F_t"/>
    <numFmt numFmtId="184" formatCode="#,###.00"/>
    <numFmt numFmtId="185" formatCode="0.0%"/>
    <numFmt numFmtId="186" formatCode="_-* #,##0.000\ _F_t_-;\-* #,##0.000\ _F_t_-;_-* &quot;-&quot;??\ _F_t_-;_-@_-"/>
    <numFmt numFmtId="187" formatCode="_-* #,##0.0000\ _F_t_-;\-* #,##0.0000\ _F_t_-;_-* &quot;-&quot;??\ _F_t_-;_-@_-"/>
    <numFmt numFmtId="188" formatCode="[$¥€-2]\ #\ ##,000_);[Red]\([$€-2]\ #\ ##,000\)"/>
  </numFmts>
  <fonts count="156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b/>
      <sz val="14"/>
      <name val="Perpetua Titling MT"/>
      <family val="1"/>
    </font>
    <font>
      <b/>
      <sz val="11"/>
      <name val="Perpetua Titling MT"/>
      <family val="1"/>
    </font>
    <font>
      <i/>
      <sz val="12"/>
      <name val="Times New Roman CE"/>
      <family val="0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6"/>
      <name val="Arial"/>
      <family val="2"/>
    </font>
    <font>
      <sz val="16"/>
      <name val="Times New Roman"/>
      <family val="1"/>
    </font>
    <font>
      <b/>
      <i/>
      <sz val="16"/>
      <name val="Times New Roman CE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1"/>
      <color indexed="8"/>
      <name val="Calibri"/>
      <family val="2"/>
    </font>
    <font>
      <sz val="10"/>
      <name val="Wingdings"/>
      <family val="0"/>
    </font>
    <font>
      <sz val="7"/>
      <name val="Times New Roman CE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10"/>
      <name val="Times New Roman"/>
      <family val="1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6"/>
      <color indexed="63"/>
      <name val="Times New Roman"/>
      <family val="1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sz val="10"/>
      <color rgb="FFFF0000"/>
      <name val="Times New Roman"/>
      <family val="1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6"/>
      <color rgb="FF333333"/>
      <name val="Times New Roman"/>
      <family val="1"/>
    </font>
    <font>
      <sz val="8"/>
      <color rgb="FF333333"/>
      <name val="Verdan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darkHorizontal"/>
    </fill>
    <fill>
      <patternFill patternType="lightHorizontal"/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1" fillId="2" borderId="0" applyNumberFormat="0" applyBorder="0" applyAlignment="0" applyProtection="0"/>
    <xf numFmtId="0" fontId="131" fillId="3" borderId="0" applyNumberFormat="0" applyBorder="0" applyAlignment="0" applyProtection="0"/>
    <xf numFmtId="0" fontId="131" fillId="4" borderId="0" applyNumberFormat="0" applyBorder="0" applyAlignment="0" applyProtection="0"/>
    <xf numFmtId="0" fontId="131" fillId="5" borderId="0" applyNumberFormat="0" applyBorder="0" applyAlignment="0" applyProtection="0"/>
    <xf numFmtId="0" fontId="131" fillId="6" borderId="0" applyNumberFormat="0" applyBorder="0" applyAlignment="0" applyProtection="0"/>
    <xf numFmtId="0" fontId="1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31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2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0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29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  <xf numFmtId="0" fontId="106" fillId="33" borderId="0" applyNumberFormat="0" applyBorder="0" applyAlignment="0" applyProtection="0"/>
    <xf numFmtId="0" fontId="133" fillId="34" borderId="1" applyNumberFormat="0" applyAlignment="0" applyProtection="0"/>
    <xf numFmtId="0" fontId="108" fillId="35" borderId="2" applyNumberFormat="0" applyAlignment="0" applyProtection="0"/>
    <xf numFmtId="0" fontId="101" fillId="36" borderId="3" applyNumberFormat="0" applyAlignment="0" applyProtection="0"/>
    <xf numFmtId="0" fontId="134" fillId="0" borderId="0" applyNumberFormat="0" applyFill="0" applyBorder="0" applyAlignment="0" applyProtection="0"/>
    <xf numFmtId="0" fontId="135" fillId="0" borderId="4" applyNumberFormat="0" applyFill="0" applyAlignment="0" applyProtection="0"/>
    <xf numFmtId="0" fontId="136" fillId="0" borderId="5" applyNumberFormat="0" applyFill="0" applyAlignment="0" applyProtection="0"/>
    <xf numFmtId="0" fontId="137" fillId="0" borderId="6" applyNumberFormat="0" applyFill="0" applyAlignment="0" applyProtection="0"/>
    <xf numFmtId="0" fontId="137" fillId="0" borderId="0" applyNumberFormat="0" applyFill="0" applyBorder="0" applyAlignment="0" applyProtection="0"/>
    <xf numFmtId="0" fontId="138" fillId="37" borderId="7" applyNumberFormat="0" applyAlignment="0" applyProtection="0"/>
    <xf numFmtId="0" fontId="10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03" fillId="12" borderId="0" applyNumberFormat="0" applyBorder="0" applyAlignment="0" applyProtection="0"/>
    <xf numFmtId="0" fontId="98" fillId="0" borderId="8" applyNumberFormat="0" applyFill="0" applyAlignment="0" applyProtection="0"/>
    <xf numFmtId="0" fontId="99" fillId="0" borderId="9" applyNumberFormat="0" applyFill="0" applyAlignment="0" applyProtection="0"/>
    <xf numFmtId="0" fontId="100" fillId="0" borderId="10" applyNumberFormat="0" applyFill="0" applyAlignment="0" applyProtection="0"/>
    <xf numFmtId="0" fontId="10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0" fillId="0" borderId="11" applyNumberFormat="0" applyFill="0" applyAlignment="0" applyProtection="0"/>
    <xf numFmtId="0" fontId="96" fillId="19" borderId="2" applyNumberFormat="0" applyAlignment="0" applyProtection="0"/>
    <xf numFmtId="0" fontId="0" fillId="38" borderId="12" applyNumberFormat="0" applyFont="0" applyAlignment="0" applyProtection="0"/>
    <xf numFmtId="0" fontId="132" fillId="39" borderId="0" applyNumberFormat="0" applyBorder="0" applyAlignment="0" applyProtection="0"/>
    <xf numFmtId="0" fontId="132" fillId="40" borderId="0" applyNumberFormat="0" applyBorder="0" applyAlignment="0" applyProtection="0"/>
    <xf numFmtId="0" fontId="132" fillId="41" borderId="0" applyNumberFormat="0" applyBorder="0" applyAlignment="0" applyProtection="0"/>
    <xf numFmtId="0" fontId="132" fillId="42" borderId="0" applyNumberFormat="0" applyBorder="0" applyAlignment="0" applyProtection="0"/>
    <xf numFmtId="0" fontId="132" fillId="43" borderId="0" applyNumberFormat="0" applyBorder="0" applyAlignment="0" applyProtection="0"/>
    <xf numFmtId="0" fontId="132" fillId="44" borderId="0" applyNumberFormat="0" applyBorder="0" applyAlignment="0" applyProtection="0"/>
    <xf numFmtId="0" fontId="141" fillId="45" borderId="0" applyNumberFormat="0" applyBorder="0" applyAlignment="0" applyProtection="0"/>
    <xf numFmtId="0" fontId="142" fillId="46" borderId="13" applyNumberFormat="0" applyAlignment="0" applyProtection="0"/>
    <xf numFmtId="0" fontId="68" fillId="0" borderId="0" applyNumberFormat="0" applyFill="0" applyBorder="0" applyAlignment="0" applyProtection="0"/>
    <xf numFmtId="0" fontId="102" fillId="0" borderId="14" applyNumberFormat="0" applyFill="0" applyAlignment="0" applyProtection="0"/>
    <xf numFmtId="0" fontId="14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59" fillId="0" borderId="0">
      <alignment/>
      <protection/>
    </xf>
    <xf numFmtId="0" fontId="76" fillId="0" borderId="0">
      <alignment/>
      <protection/>
    </xf>
    <xf numFmtId="0" fontId="0" fillId="10" borderId="15" applyNumberFormat="0" applyAlignment="0" applyProtection="0"/>
    <xf numFmtId="0" fontId="104" fillId="35" borderId="16" applyNumberFormat="0" applyAlignment="0" applyProtection="0"/>
    <xf numFmtId="0" fontId="14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6" fillId="47" borderId="0" applyNumberFormat="0" applyBorder="0" applyAlignment="0" applyProtection="0"/>
    <xf numFmtId="0" fontId="147" fillId="48" borderId="0" applyNumberFormat="0" applyBorder="0" applyAlignment="0" applyProtection="0"/>
    <xf numFmtId="0" fontId="148" fillId="4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102" fillId="0" borderId="0" applyNumberFormat="0" applyFill="0" applyBorder="0" applyAlignment="0" applyProtection="0"/>
  </cellStyleXfs>
  <cellXfs count="18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8">
      <alignment/>
      <protection/>
    </xf>
    <xf numFmtId="0" fontId="17" fillId="0" borderId="0" xfId="108" applyFont="1" applyAlignment="1">
      <alignment horizontal="center"/>
      <protection/>
    </xf>
    <xf numFmtId="0" fontId="11" fillId="0" borderId="0" xfId="108" applyAlignment="1">
      <alignment vertical="center"/>
      <protection/>
    </xf>
    <xf numFmtId="0" fontId="13" fillId="0" borderId="0" xfId="108" applyFont="1">
      <alignment/>
      <protection/>
    </xf>
    <xf numFmtId="0" fontId="0" fillId="0" borderId="0" xfId="0" applyFont="1" applyAlignment="1">
      <alignment wrapText="1"/>
    </xf>
    <xf numFmtId="0" fontId="33" fillId="0" borderId="0" xfId="109" applyFont="1" applyAlignment="1">
      <alignment horizontal="center" vertical="center"/>
      <protection/>
    </xf>
    <xf numFmtId="0" fontId="26" fillId="0" borderId="19" xfId="109" applyFont="1" applyBorder="1" applyAlignment="1">
      <alignment horizontal="left" vertical="center" wrapText="1"/>
      <protection/>
    </xf>
    <xf numFmtId="0" fontId="36" fillId="0" borderId="20" xfId="109" applyFont="1" applyBorder="1" applyAlignment="1">
      <alignment horizontal="center" vertical="center" wrapText="1"/>
      <protection/>
    </xf>
    <xf numFmtId="0" fontId="36" fillId="0" borderId="21" xfId="109" applyFont="1" applyBorder="1" applyAlignment="1">
      <alignment horizontal="center" vertical="center" wrapText="1"/>
      <protection/>
    </xf>
    <xf numFmtId="0" fontId="0" fillId="0" borderId="22" xfId="108" applyFont="1" applyBorder="1" applyAlignment="1">
      <alignment horizontal="center" vertical="center"/>
      <protection/>
    </xf>
    <xf numFmtId="0" fontId="7" fillId="0" borderId="0" xfId="0" applyFont="1" applyAlignment="1">
      <alignment vertical="center" wrapText="1"/>
    </xf>
    <xf numFmtId="3" fontId="11" fillId="0" borderId="0" xfId="108" applyNumberFormat="1" applyAlignment="1">
      <alignment vertical="center"/>
      <protection/>
    </xf>
    <xf numFmtId="0" fontId="19" fillId="0" borderId="0" xfId="109" applyAlignment="1">
      <alignment horizontal="left" vertical="center" wrapText="1"/>
      <protection/>
    </xf>
    <xf numFmtId="3" fontId="5" fillId="0" borderId="0" xfId="0" applyNumberFormat="1" applyFont="1" applyAlignment="1">
      <alignment horizontal="right" vertical="center"/>
    </xf>
    <xf numFmtId="0" fontId="15" fillId="0" borderId="19" xfId="108" applyFont="1" applyBorder="1" applyAlignment="1">
      <alignment wrapText="1"/>
      <protection/>
    </xf>
    <xf numFmtId="0" fontId="12" fillId="0" borderId="23" xfId="108" applyFont="1" applyBorder="1" applyAlignment="1">
      <alignment wrapText="1"/>
      <protection/>
    </xf>
    <xf numFmtId="3" fontId="41" fillId="0" borderId="24" xfId="108" applyNumberFormat="1" applyFont="1" applyBorder="1" applyAlignment="1">
      <alignment horizontal="right"/>
      <protection/>
    </xf>
    <xf numFmtId="0" fontId="41" fillId="0" borderId="24" xfId="108" applyFont="1" applyBorder="1" applyAlignment="1">
      <alignment horizontal="right"/>
      <protection/>
    </xf>
    <xf numFmtId="3" fontId="41" fillId="0" borderId="25" xfId="108" applyNumberFormat="1" applyFont="1" applyBorder="1" applyAlignment="1">
      <alignment horizontal="right"/>
      <protection/>
    </xf>
    <xf numFmtId="3" fontId="18" fillId="0" borderId="20" xfId="68" applyNumberFormat="1" applyFont="1" applyBorder="1" applyAlignment="1">
      <alignment horizontal="right" vertical="center"/>
    </xf>
    <xf numFmtId="3" fontId="18" fillId="0" borderId="20" xfId="108" applyNumberFormat="1" applyFont="1" applyBorder="1" applyAlignment="1">
      <alignment horizontal="right"/>
      <protection/>
    </xf>
    <xf numFmtId="0" fontId="11" fillId="0" borderId="26" xfId="108" applyBorder="1" applyAlignment="1">
      <alignment horizontal="center" vertical="center"/>
      <protection/>
    </xf>
    <xf numFmtId="0" fontId="11" fillId="0" borderId="19" xfId="108" applyBorder="1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0" fillId="0" borderId="24" xfId="108" applyFont="1" applyBorder="1" applyAlignment="1">
      <alignment horizontal="left" vertical="center" wrapText="1"/>
      <protection/>
    </xf>
    <xf numFmtId="0" fontId="0" fillId="0" borderId="19" xfId="108" applyFont="1" applyBorder="1" applyAlignment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0" fontId="10" fillId="0" borderId="0" xfId="108" applyFont="1" applyAlignment="1">
      <alignment horizontal="right" vertical="center"/>
      <protection/>
    </xf>
    <xf numFmtId="0" fontId="22" fillId="0" borderId="0" xfId="108" applyFont="1" applyAlignment="1">
      <alignment horizontal="center" vertical="center"/>
      <protection/>
    </xf>
    <xf numFmtId="3" fontId="15" fillId="0" borderId="24" xfId="108" applyNumberFormat="1" applyFont="1" applyBorder="1" applyAlignment="1">
      <alignment horizontal="right" vertical="center"/>
      <protection/>
    </xf>
    <xf numFmtId="3" fontId="3" fillId="0" borderId="2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41" fillId="0" borderId="28" xfId="108" applyNumberFormat="1" applyFont="1" applyBorder="1" applyAlignment="1">
      <alignment horizontal="right"/>
      <protection/>
    </xf>
    <xf numFmtId="0" fontId="15" fillId="0" borderId="29" xfId="108" applyFont="1" applyBorder="1" applyAlignment="1">
      <alignment wrapText="1"/>
      <protection/>
    </xf>
    <xf numFmtId="0" fontId="14" fillId="0" borderId="24" xfId="0" applyFont="1" applyBorder="1" applyAlignment="1">
      <alignment vertical="center" wrapText="1"/>
    </xf>
    <xf numFmtId="0" fontId="32" fillId="0" borderId="24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3" xfId="0" applyNumberFormat="1" applyFont="1" applyBorder="1" applyAlignment="1">
      <alignment horizontal="left" vertical="center"/>
    </xf>
    <xf numFmtId="49" fontId="4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8" fillId="0" borderId="0" xfId="0" applyFont="1" applyAlignment="1">
      <alignment wrapText="1"/>
    </xf>
    <xf numFmtId="49" fontId="7" fillId="0" borderId="33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7" fillId="0" borderId="36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0" fillId="0" borderId="37" xfId="0" applyNumberFormat="1" applyFont="1" applyBorder="1" applyAlignment="1">
      <alignment horizontal="left"/>
    </xf>
    <xf numFmtId="49" fontId="7" fillId="0" borderId="38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6" fillId="0" borderId="35" xfId="0" applyFont="1" applyBorder="1" applyAlignment="1">
      <alignment/>
    </xf>
    <xf numFmtId="3" fontId="3" fillId="0" borderId="27" xfId="0" applyNumberFormat="1" applyFont="1" applyBorder="1" applyAlignment="1">
      <alignment horizontal="right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vertical="center"/>
    </xf>
    <xf numFmtId="0" fontId="3" fillId="0" borderId="0" xfId="0" applyFont="1" applyAlignment="1">
      <alignment horizontal="centerContinuous" vertical="center" wrapText="1"/>
    </xf>
    <xf numFmtId="49" fontId="7" fillId="0" borderId="37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3" fontId="7" fillId="0" borderId="28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3" fontId="25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8" fillId="0" borderId="40" xfId="109" applyFont="1" applyBorder="1" applyAlignment="1">
      <alignment horizontal="left" vertical="center" wrapText="1"/>
      <protection/>
    </xf>
    <xf numFmtId="0" fontId="26" fillId="0" borderId="41" xfId="0" applyFont="1" applyBorder="1" applyAlignment="1">
      <alignment vertical="center" wrapText="1"/>
    </xf>
    <xf numFmtId="2" fontId="37" fillId="0" borderId="24" xfId="109" applyNumberFormat="1" applyFont="1" applyBorder="1" applyAlignment="1">
      <alignment horizontal="center" vertical="center" wrapText="1"/>
      <protection/>
    </xf>
    <xf numFmtId="2" fontId="37" fillId="0" borderId="42" xfId="109" applyNumberFormat="1" applyFont="1" applyBorder="1" applyAlignment="1">
      <alignment horizontal="center" vertical="center" wrapText="1"/>
      <protection/>
    </xf>
    <xf numFmtId="2" fontId="37" fillId="0" borderId="20" xfId="109" applyNumberFormat="1" applyFont="1" applyBorder="1" applyAlignment="1">
      <alignment horizontal="center" vertical="center" wrapText="1"/>
      <protection/>
    </xf>
    <xf numFmtId="169" fontId="30" fillId="0" borderId="0" xfId="0" applyNumberFormat="1" applyFont="1" applyAlignment="1">
      <alignment horizontal="left" vertical="center" wrapText="1"/>
    </xf>
    <xf numFmtId="169" fontId="30" fillId="0" borderId="0" xfId="0" applyNumberFormat="1" applyFont="1" applyAlignment="1">
      <alignment vertical="center" wrapText="1"/>
    </xf>
    <xf numFmtId="169" fontId="49" fillId="0" borderId="0" xfId="0" applyNumberFormat="1" applyFont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right" vertical="top"/>
      <protection locked="0"/>
    </xf>
    <xf numFmtId="0" fontId="51" fillId="0" borderId="0" xfId="0" applyFont="1" applyAlignment="1" applyProtection="1">
      <alignment horizontal="right" vertical="top"/>
      <protection locked="0"/>
    </xf>
    <xf numFmtId="169" fontId="52" fillId="0" borderId="0" xfId="0" applyNumberFormat="1" applyFont="1" applyAlignment="1" applyProtection="1">
      <alignment vertical="center" wrapText="1"/>
      <protection locked="0"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1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49" fillId="0" borderId="43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169" fontId="53" fillId="0" borderId="45" xfId="0" applyNumberFormat="1" applyFont="1" applyBorder="1" applyAlignment="1">
      <alignment horizontal="right" vertical="center" wrapText="1" indent="1"/>
    </xf>
    <xf numFmtId="0" fontId="43" fillId="0" borderId="0" xfId="0" applyFont="1" applyAlignment="1">
      <alignment vertical="center" wrapText="1"/>
    </xf>
    <xf numFmtId="0" fontId="53" fillId="0" borderId="22" xfId="0" applyFont="1" applyBorder="1" applyAlignment="1">
      <alignment horizontal="center" vertical="center" wrapText="1"/>
    </xf>
    <xf numFmtId="49" fontId="45" fillId="0" borderId="24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169" fontId="45" fillId="0" borderId="25" xfId="0" applyNumberFormat="1" applyFont="1" applyBorder="1" applyAlignment="1" applyProtection="1">
      <alignment horizontal="right" vertical="center" wrapText="1" indent="1"/>
      <protection locked="0"/>
    </xf>
    <xf numFmtId="0" fontId="29" fillId="0" borderId="0" xfId="0" applyFont="1" applyAlignment="1">
      <alignment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27" xfId="111" applyFont="1" applyBorder="1" applyAlignment="1">
      <alignment horizontal="left" vertical="center" wrapText="1" indent="1"/>
      <protection/>
    </xf>
    <xf numFmtId="0" fontId="53" fillId="0" borderId="22" xfId="0" applyFont="1" applyBorder="1" applyAlignment="1">
      <alignment horizontal="center" vertical="center" wrapText="1"/>
    </xf>
    <xf numFmtId="49" fontId="45" fillId="0" borderId="30" xfId="0" applyNumberFormat="1" applyFont="1" applyBorder="1" applyAlignment="1">
      <alignment horizontal="center" vertical="center" wrapText="1"/>
    </xf>
    <xf numFmtId="169" fontId="45" fillId="0" borderId="46" xfId="0" applyNumberFormat="1" applyFont="1" applyBorder="1" applyAlignment="1" applyProtection="1">
      <alignment horizontal="right" vertical="center" wrapText="1" indent="1"/>
      <protection locked="0"/>
    </xf>
    <xf numFmtId="0" fontId="53" fillId="0" borderId="40" xfId="0" applyFont="1" applyBorder="1" applyAlignment="1">
      <alignment horizontal="center" vertical="center" wrapText="1"/>
    </xf>
    <xf numFmtId="49" fontId="45" fillId="0" borderId="42" xfId="0" applyNumberFormat="1" applyFont="1" applyBorder="1" applyAlignment="1">
      <alignment horizontal="center" vertical="center" wrapText="1"/>
    </xf>
    <xf numFmtId="169" fontId="45" fillId="0" borderId="47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45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7" xfId="111" applyNumberFormat="1" applyFont="1" applyBorder="1" applyAlignment="1">
      <alignment horizontal="left" vertical="center" wrapText="1" indent="1"/>
      <protection/>
    </xf>
    <xf numFmtId="0" fontId="54" fillId="0" borderId="48" xfId="0" applyFont="1" applyBorder="1" applyAlignment="1">
      <alignment horizontal="center" vertical="center" wrapText="1"/>
    </xf>
    <xf numFmtId="49" fontId="45" fillId="0" borderId="30" xfId="111" applyNumberFormat="1" applyFont="1" applyBorder="1" applyAlignment="1">
      <alignment horizontal="left" vertical="center" wrapText="1" indent="1"/>
      <protection/>
    </xf>
    <xf numFmtId="0" fontId="29" fillId="0" borderId="23" xfId="0" applyFont="1" applyBorder="1" applyAlignment="1">
      <alignment vertical="center" wrapText="1"/>
    </xf>
    <xf numFmtId="49" fontId="45" fillId="0" borderId="20" xfId="111" applyNumberFormat="1" applyFont="1" applyBorder="1" applyAlignment="1">
      <alignment horizontal="left" vertical="center" wrapText="1" indent="1"/>
      <protection/>
    </xf>
    <xf numFmtId="169" fontId="45" fillId="0" borderId="21" xfId="0" applyNumberFormat="1" applyFont="1" applyBorder="1" applyAlignment="1" applyProtection="1">
      <alignment horizontal="right" vertical="center" wrapText="1" indent="1"/>
      <protection locked="0"/>
    </xf>
    <xf numFmtId="0" fontId="54" fillId="0" borderId="44" xfId="0" applyFont="1" applyBorder="1" applyAlignment="1">
      <alignment horizontal="center" vertical="center" wrapText="1"/>
    </xf>
    <xf numFmtId="169" fontId="53" fillId="0" borderId="49" xfId="0" applyNumberFormat="1" applyFont="1" applyBorder="1" applyAlignment="1">
      <alignment horizontal="right" vertical="center" wrapText="1" inden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 indent="1"/>
    </xf>
    <xf numFmtId="169" fontId="53" fillId="0" borderId="0" xfId="0" applyNumberFormat="1" applyFont="1" applyAlignment="1">
      <alignment horizontal="right" vertical="center" wrapText="1" indent="1"/>
    </xf>
    <xf numFmtId="0" fontId="58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 wrapText="1" indent="1"/>
    </xf>
    <xf numFmtId="0" fontId="53" fillId="0" borderId="32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53" fillId="0" borderId="27" xfId="111" applyFont="1" applyBorder="1" applyAlignment="1">
      <alignment horizontal="left" vertical="center" wrapText="1" indent="1"/>
      <protection/>
    </xf>
    <xf numFmtId="0" fontId="53" fillId="0" borderId="26" xfId="0" applyFont="1" applyBorder="1" applyAlignment="1">
      <alignment horizontal="center" vertical="center" wrapText="1"/>
    </xf>
    <xf numFmtId="49" fontId="45" fillId="0" borderId="42" xfId="111" applyNumberFormat="1" applyFont="1" applyBorder="1" applyAlignment="1">
      <alignment horizontal="left" vertical="center" wrapText="1" indent="1"/>
      <protection/>
    </xf>
    <xf numFmtId="0" fontId="53" fillId="0" borderId="19" xfId="0" applyFont="1" applyBorder="1" applyAlignment="1">
      <alignment horizontal="center" vertical="center" wrapText="1"/>
    </xf>
    <xf numFmtId="49" fontId="45" fillId="0" borderId="24" xfId="111" applyNumberFormat="1" applyFont="1" applyBorder="1" applyAlignment="1">
      <alignment horizontal="left" vertical="center" wrapText="1" indent="1"/>
      <protection/>
    </xf>
    <xf numFmtId="169" fontId="45" fillId="0" borderId="25" xfId="0" applyNumberFormat="1" applyFont="1" applyBorder="1" applyAlignment="1" applyProtection="1">
      <alignment horizontal="right" vertical="center" wrapText="1" indent="1"/>
      <protection locked="0"/>
    </xf>
    <xf numFmtId="0" fontId="45" fillId="0" borderId="27" xfId="0" applyFont="1" applyBorder="1" applyAlignment="1">
      <alignment horizontal="center" vertical="center" wrapText="1"/>
    </xf>
    <xf numFmtId="169" fontId="53" fillId="0" borderId="45" xfId="0" applyNumberFormat="1" applyFont="1" applyBorder="1" applyAlignment="1">
      <alignment horizontal="right" vertical="center" wrapText="1" indent="1"/>
    </xf>
    <xf numFmtId="0" fontId="28" fillId="0" borderId="44" xfId="0" applyFont="1" applyBorder="1" applyAlignment="1">
      <alignment horizontal="left" vertical="center"/>
    </xf>
    <xf numFmtId="0" fontId="59" fillId="0" borderId="39" xfId="0" applyFont="1" applyBorder="1" applyAlignment="1">
      <alignment vertical="center" wrapText="1"/>
    </xf>
    <xf numFmtId="169" fontId="53" fillId="0" borderId="39" xfId="0" applyNumberFormat="1" applyFont="1" applyBorder="1" applyAlignment="1">
      <alignment horizontal="right" vertical="center" wrapText="1" indent="1"/>
    </xf>
    <xf numFmtId="169" fontId="49" fillId="0" borderId="28" xfId="0" applyNumberFormat="1" applyFont="1" applyBorder="1" applyAlignment="1">
      <alignment horizontal="center" vertical="center" wrapText="1"/>
    </xf>
    <xf numFmtId="169" fontId="53" fillId="0" borderId="27" xfId="0" applyNumberFormat="1" applyFont="1" applyBorder="1" applyAlignment="1">
      <alignment horizontal="right" vertical="center" wrapText="1" indent="1"/>
    </xf>
    <xf numFmtId="169" fontId="45" fillId="0" borderId="24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30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50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27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43" xfId="0" applyNumberFormat="1" applyFont="1" applyBorder="1" applyAlignment="1">
      <alignment horizontal="right" vertical="center" wrapText="1" indent="1"/>
    </xf>
    <xf numFmtId="169" fontId="45" fillId="0" borderId="20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27" xfId="0" applyNumberFormat="1" applyFont="1" applyBorder="1" applyAlignment="1">
      <alignment horizontal="right" vertical="center" wrapText="1" indent="1"/>
    </xf>
    <xf numFmtId="169" fontId="45" fillId="0" borderId="42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24" xfId="0" applyNumberFormat="1" applyFont="1" applyBorder="1" applyAlignment="1" applyProtection="1">
      <alignment horizontal="right" vertical="center" wrapText="1" indent="1"/>
      <protection locked="0"/>
    </xf>
    <xf numFmtId="3" fontId="28" fillId="0" borderId="49" xfId="0" applyNumberFormat="1" applyFont="1" applyBorder="1" applyAlignment="1" applyProtection="1">
      <alignment horizontal="right" vertical="center" wrapText="1" indent="1"/>
      <protection locked="0"/>
    </xf>
    <xf numFmtId="3" fontId="28" fillId="0" borderId="27" xfId="0" applyNumberFormat="1" applyFont="1" applyBorder="1" applyAlignment="1" applyProtection="1">
      <alignment horizontal="right" vertical="center" wrapText="1" indent="1"/>
      <protection locked="0"/>
    </xf>
    <xf numFmtId="0" fontId="30" fillId="0" borderId="0" xfId="111">
      <alignment/>
      <protection/>
    </xf>
    <xf numFmtId="3" fontId="45" fillId="0" borderId="0" xfId="111" applyNumberFormat="1" applyFont="1">
      <alignment/>
      <protection/>
    </xf>
    <xf numFmtId="169" fontId="45" fillId="0" borderId="0" xfId="111" applyNumberFormat="1" applyFont="1">
      <alignment/>
      <protection/>
    </xf>
    <xf numFmtId="0" fontId="53" fillId="0" borderId="44" xfId="111" applyFont="1" applyBorder="1" applyAlignment="1">
      <alignment horizontal="left" vertical="center" wrapText="1" indent="1"/>
      <protection/>
    </xf>
    <xf numFmtId="0" fontId="61" fillId="0" borderId="0" xfId="111" applyFont="1">
      <alignment/>
      <protection/>
    </xf>
    <xf numFmtId="49" fontId="45" fillId="0" borderId="0" xfId="111" applyNumberFormat="1" applyFont="1" applyAlignment="1">
      <alignment horizontal="left" vertical="center" wrapText="1" indent="1"/>
      <protection/>
    </xf>
    <xf numFmtId="0" fontId="45" fillId="0" borderId="0" xfId="111" applyFont="1" applyAlignment="1">
      <alignment horizontal="left" indent="5"/>
      <protection/>
    </xf>
    <xf numFmtId="3" fontId="45" fillId="0" borderId="0" xfId="111" applyNumberFormat="1" applyFont="1" applyAlignment="1">
      <alignment horizontal="right" vertical="center" wrapText="1"/>
      <protection/>
    </xf>
    <xf numFmtId="0" fontId="46" fillId="0" borderId="0" xfId="111" applyFont="1" applyAlignment="1">
      <alignment horizontal="center" wrapText="1"/>
      <protection/>
    </xf>
    <xf numFmtId="0" fontId="45" fillId="0" borderId="0" xfId="111" applyFont="1">
      <alignment/>
      <protection/>
    </xf>
    <xf numFmtId="49" fontId="20" fillId="0" borderId="0" xfId="0" applyNumberFormat="1" applyFont="1" applyAlignment="1">
      <alignment vertical="center"/>
    </xf>
    <xf numFmtId="49" fontId="7" fillId="0" borderId="51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53" fillId="0" borderId="22" xfId="111" applyFont="1" applyBorder="1" applyAlignment="1">
      <alignment horizontal="left" vertical="center" wrapText="1" indent="1"/>
      <protection/>
    </xf>
    <xf numFmtId="49" fontId="53" fillId="0" borderId="19" xfId="111" applyNumberFormat="1" applyFont="1" applyBorder="1" applyAlignment="1">
      <alignment horizontal="left" vertical="center" wrapText="1" indent="1"/>
      <protection/>
    </xf>
    <xf numFmtId="49" fontId="53" fillId="0" borderId="23" xfId="111" applyNumberFormat="1" applyFont="1" applyBorder="1" applyAlignment="1">
      <alignment horizontal="left" vertical="center" wrapText="1" indent="1"/>
      <protection/>
    </xf>
    <xf numFmtId="2" fontId="35" fillId="0" borderId="50" xfId="109" applyNumberFormat="1" applyFont="1" applyBorder="1" applyAlignment="1">
      <alignment horizontal="center" vertical="center"/>
      <protection/>
    </xf>
    <xf numFmtId="169" fontId="27" fillId="0" borderId="27" xfId="111" applyNumberFormat="1" applyFont="1" applyBorder="1" applyAlignment="1">
      <alignment horizontal="right" vertical="center" wrapText="1"/>
      <protection/>
    </xf>
    <xf numFmtId="169" fontId="42" fillId="0" borderId="52" xfId="111" applyNumberFormat="1" applyFont="1" applyBorder="1" applyAlignment="1">
      <alignment horizontal="left" vertical="center"/>
      <protection/>
    </xf>
    <xf numFmtId="3" fontId="27" fillId="0" borderId="30" xfId="111" applyNumberFormat="1" applyFont="1" applyBorder="1" applyAlignment="1">
      <alignment horizontal="right" vertical="center" wrapText="1"/>
      <protection/>
    </xf>
    <xf numFmtId="3" fontId="27" fillId="0" borderId="24" xfId="111" applyNumberFormat="1" applyFont="1" applyBorder="1" applyAlignment="1">
      <alignment horizontal="right" vertical="center" wrapText="1"/>
      <protection/>
    </xf>
    <xf numFmtId="3" fontId="27" fillId="0" borderId="20" xfId="111" applyNumberFormat="1" applyFont="1" applyBorder="1" applyAlignment="1">
      <alignment horizontal="right" vertical="center" wrapText="1"/>
      <protection/>
    </xf>
    <xf numFmtId="49" fontId="43" fillId="0" borderId="19" xfId="111" applyNumberFormat="1" applyFont="1" applyBorder="1" applyAlignment="1">
      <alignment horizontal="left" vertical="center" wrapText="1"/>
      <protection/>
    </xf>
    <xf numFmtId="49" fontId="29" fillId="0" borderId="19" xfId="111" applyNumberFormat="1" applyFont="1" applyBorder="1" applyAlignment="1">
      <alignment horizontal="left"/>
      <protection/>
    </xf>
    <xf numFmtId="49" fontId="29" fillId="0" borderId="19" xfId="111" applyNumberFormat="1" applyFont="1" applyBorder="1" applyAlignment="1">
      <alignment horizontal="left" vertical="center" wrapText="1"/>
      <protection/>
    </xf>
    <xf numFmtId="0" fontId="27" fillId="0" borderId="22" xfId="111" applyFont="1" applyBorder="1" applyAlignment="1">
      <alignment horizontal="center"/>
      <protection/>
    </xf>
    <xf numFmtId="3" fontId="27" fillId="0" borderId="30" xfId="111" applyNumberFormat="1" applyFont="1" applyBorder="1">
      <alignment/>
      <protection/>
    </xf>
    <xf numFmtId="3" fontId="29" fillId="0" borderId="24" xfId="111" applyNumberFormat="1" applyFont="1" applyBorder="1">
      <alignment/>
      <protection/>
    </xf>
    <xf numFmtId="169" fontId="29" fillId="0" borderId="24" xfId="111" applyNumberFormat="1" applyFont="1" applyBorder="1">
      <alignment/>
      <protection/>
    </xf>
    <xf numFmtId="49" fontId="43" fillId="0" borderId="23" xfId="111" applyNumberFormat="1" applyFont="1" applyBorder="1" applyAlignment="1">
      <alignment horizontal="left"/>
      <protection/>
    </xf>
    <xf numFmtId="3" fontId="29" fillId="0" borderId="20" xfId="111" applyNumberFormat="1" applyFont="1" applyBorder="1">
      <alignment/>
      <protection/>
    </xf>
    <xf numFmtId="169" fontId="27" fillId="0" borderId="50" xfId="111" applyNumberFormat="1" applyFont="1" applyBorder="1" applyAlignment="1">
      <alignment horizontal="right" vertical="center" wrapText="1"/>
      <protection/>
    </xf>
    <xf numFmtId="169" fontId="27" fillId="0" borderId="30" xfId="111" applyNumberFormat="1" applyFont="1" applyBorder="1" applyAlignment="1">
      <alignment horizontal="right" vertical="center" wrapText="1"/>
      <protection/>
    </xf>
    <xf numFmtId="169" fontId="27" fillId="0" borderId="24" xfId="111" applyNumberFormat="1" applyFont="1" applyBorder="1" applyAlignment="1">
      <alignment horizontal="right" vertical="center" wrapText="1"/>
      <protection/>
    </xf>
    <xf numFmtId="3" fontId="18" fillId="0" borderId="21" xfId="108" applyNumberFormat="1" applyFont="1" applyBorder="1" applyAlignment="1">
      <alignment horizontal="right"/>
      <protection/>
    </xf>
    <xf numFmtId="0" fontId="7" fillId="0" borderId="5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169" fontId="53" fillId="0" borderId="54" xfId="0" applyNumberFormat="1" applyFont="1" applyBorder="1" applyAlignment="1" applyProtection="1">
      <alignment horizontal="right" vertical="center" wrapText="1" indent="1"/>
      <protection locked="0"/>
    </xf>
    <xf numFmtId="169" fontId="49" fillId="0" borderId="43" xfId="0" applyNumberFormat="1" applyFont="1" applyBorder="1" applyAlignment="1">
      <alignment horizontal="center" vertical="center" wrapText="1"/>
    </xf>
    <xf numFmtId="169" fontId="49" fillId="0" borderId="55" xfId="0" applyNumberFormat="1" applyFont="1" applyBorder="1" applyAlignment="1">
      <alignment horizontal="center" vertical="center" wrapText="1"/>
    </xf>
    <xf numFmtId="169" fontId="53" fillId="0" borderId="54" xfId="0" applyNumberFormat="1" applyFont="1" applyBorder="1" applyAlignment="1">
      <alignment horizontal="right" vertical="center" wrapText="1" indent="1"/>
    </xf>
    <xf numFmtId="169" fontId="53" fillId="0" borderId="56" xfId="0" applyNumberFormat="1" applyFont="1" applyBorder="1" applyAlignment="1">
      <alignment horizontal="right" vertical="center" wrapText="1" indent="1"/>
    </xf>
    <xf numFmtId="169" fontId="45" fillId="0" borderId="57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54" xfId="0" applyNumberFormat="1" applyFont="1" applyBorder="1" applyAlignment="1">
      <alignment horizontal="right" vertical="center" wrapText="1" indent="1"/>
    </xf>
    <xf numFmtId="169" fontId="49" fillId="0" borderId="58" xfId="0" applyNumberFormat="1" applyFont="1" applyBorder="1" applyAlignment="1">
      <alignment horizontal="center" vertical="center" wrapText="1"/>
    </xf>
    <xf numFmtId="3" fontId="3" fillId="49" borderId="27" xfId="0" applyNumberFormat="1" applyFont="1" applyFill="1" applyBorder="1" applyAlignment="1">
      <alignment horizontal="right" vertical="center" wrapText="1"/>
    </xf>
    <xf numFmtId="3" fontId="7" fillId="49" borderId="42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2" fontId="33" fillId="0" borderId="0" xfId="109" applyNumberFormat="1" applyFont="1" applyAlignment="1">
      <alignment horizontal="center" vertical="center"/>
      <protection/>
    </xf>
    <xf numFmtId="1" fontId="37" fillId="0" borderId="25" xfId="109" applyNumberFormat="1" applyFont="1" applyBorder="1" applyAlignment="1">
      <alignment horizontal="center" vertical="center" wrapText="1"/>
      <protection/>
    </xf>
    <xf numFmtId="1" fontId="35" fillId="0" borderId="47" xfId="109" applyNumberFormat="1" applyFont="1" applyBorder="1" applyAlignment="1">
      <alignment horizontal="center" vertical="center"/>
      <protection/>
    </xf>
    <xf numFmtId="1" fontId="35" fillId="0" borderId="45" xfId="109" applyNumberFormat="1" applyFont="1" applyBorder="1" applyAlignment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46" fillId="0" borderId="0" xfId="111" applyFont="1" applyAlignment="1">
      <alignment horizontal="center"/>
      <protection/>
    </xf>
    <xf numFmtId="0" fontId="3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3" fillId="0" borderId="5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Continuous" vertical="center" wrapText="1"/>
    </xf>
    <xf numFmtId="0" fontId="12" fillId="1" borderId="26" xfId="108" applyFont="1" applyFill="1" applyBorder="1" applyAlignment="1">
      <alignment horizontal="center" vertical="center" wrapText="1"/>
      <protection/>
    </xf>
    <xf numFmtId="0" fontId="12" fillId="1" borderId="42" xfId="108" applyFont="1" applyFill="1" applyBorder="1" applyAlignment="1">
      <alignment horizontal="center" vertical="center"/>
      <protection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11" fillId="0" borderId="0" xfId="108" applyAlignment="1">
      <alignment wrapText="1"/>
      <protection/>
    </xf>
    <xf numFmtId="0" fontId="0" fillId="0" borderId="0" xfId="0" applyFont="1" applyAlignment="1">
      <alignment vertical="center" wrapText="1"/>
    </xf>
    <xf numFmtId="0" fontId="67" fillId="0" borderId="54" xfId="0" applyFont="1" applyBorder="1" applyAlignment="1">
      <alignment horizontal="center" wrapText="1"/>
    </xf>
    <xf numFmtId="0" fontId="51" fillId="0" borderId="54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 indent="1"/>
    </xf>
    <xf numFmtId="169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9" xfId="0" applyFont="1" applyBorder="1" applyAlignment="1">
      <alignment horizontal="center" vertical="center" wrapText="1"/>
    </xf>
    <xf numFmtId="0" fontId="13" fillId="0" borderId="32" xfId="108" applyFont="1" applyBorder="1" applyAlignment="1">
      <alignment horizontal="center" vertical="center"/>
      <protection/>
    </xf>
    <xf numFmtId="3" fontId="13" fillId="0" borderId="26" xfId="108" applyNumberFormat="1" applyFont="1" applyBorder="1" applyAlignment="1">
      <alignment vertical="center"/>
      <protection/>
    </xf>
    <xf numFmtId="0" fontId="11" fillId="0" borderId="35" xfId="108" applyBorder="1" applyAlignment="1">
      <alignment vertical="center" wrapText="1"/>
      <protection/>
    </xf>
    <xf numFmtId="0" fontId="11" fillId="0" borderId="33" xfId="108" applyBorder="1" applyAlignment="1">
      <alignment vertical="center" wrapText="1"/>
      <protection/>
    </xf>
    <xf numFmtId="0" fontId="11" fillId="0" borderId="37" xfId="108" applyBorder="1" applyAlignment="1">
      <alignment vertical="center" wrapText="1"/>
      <protection/>
    </xf>
    <xf numFmtId="0" fontId="11" fillId="0" borderId="41" xfId="108" applyBorder="1" applyAlignment="1">
      <alignment vertical="center" wrapText="1"/>
      <protection/>
    </xf>
    <xf numFmtId="0" fontId="13" fillId="0" borderId="60" xfId="108" applyFont="1" applyBorder="1" applyAlignment="1">
      <alignment vertical="center" wrapText="1"/>
      <protection/>
    </xf>
    <xf numFmtId="0" fontId="11" fillId="0" borderId="35" xfId="108" applyBorder="1" applyAlignment="1">
      <alignment vertical="center"/>
      <protection/>
    </xf>
    <xf numFmtId="0" fontId="11" fillId="0" borderId="37" xfId="108" applyBorder="1" applyAlignment="1">
      <alignment vertical="center"/>
      <protection/>
    </xf>
    <xf numFmtId="0" fontId="13" fillId="0" borderId="32" xfId="108" applyFont="1" applyBorder="1" applyAlignment="1">
      <alignment vertical="center"/>
      <protection/>
    </xf>
    <xf numFmtId="0" fontId="17" fillId="0" borderId="32" xfId="108" applyFont="1" applyBorder="1" applyAlignment="1">
      <alignment horizontal="center" vertical="center"/>
      <protection/>
    </xf>
    <xf numFmtId="0" fontId="10" fillId="0" borderId="60" xfId="0" applyFont="1" applyBorder="1" applyAlignment="1">
      <alignment horizontal="center" vertical="center" wrapText="1"/>
    </xf>
    <xf numFmtId="0" fontId="19" fillId="0" borderId="37" xfId="108" applyFont="1" applyBorder="1" applyAlignment="1">
      <alignment vertical="center" wrapText="1"/>
      <protection/>
    </xf>
    <xf numFmtId="0" fontId="13" fillId="0" borderId="32" xfId="108" applyFont="1" applyBorder="1" applyAlignment="1">
      <alignment vertical="center" wrapText="1"/>
      <protection/>
    </xf>
    <xf numFmtId="0" fontId="38" fillId="0" borderId="60" xfId="108" applyFont="1" applyBorder="1" applyAlignment="1">
      <alignment horizontal="center" vertical="center"/>
      <protection/>
    </xf>
    <xf numFmtId="0" fontId="7" fillId="0" borderId="36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4" xfId="80" applyFont="1" applyBorder="1" applyAlignment="1" applyProtection="1">
      <alignment vertical="center" wrapText="1"/>
      <protection/>
    </xf>
    <xf numFmtId="0" fontId="7" fillId="0" borderId="38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39" fillId="0" borderId="44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3" fontId="3" fillId="49" borderId="44" xfId="0" applyNumberFormat="1" applyFont="1" applyFill="1" applyBorder="1" applyAlignment="1">
      <alignment horizontal="right" vertical="center" wrapText="1"/>
    </xf>
    <xf numFmtId="3" fontId="7" fillId="49" borderId="26" xfId="0" applyNumberFormat="1" applyFont="1" applyFill="1" applyBorder="1" applyAlignment="1">
      <alignment horizontal="right" vertical="center" wrapText="1"/>
    </xf>
    <xf numFmtId="3" fontId="7" fillId="49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vertical="center"/>
    </xf>
    <xf numFmtId="0" fontId="34" fillId="0" borderId="0" xfId="109" applyFont="1" applyAlignment="1">
      <alignment horizontal="center" vertical="center"/>
      <protection/>
    </xf>
    <xf numFmtId="49" fontId="0" fillId="0" borderId="53" xfId="0" applyNumberFormat="1" applyFont="1" applyBorder="1" applyAlignment="1">
      <alignment horizontal="left"/>
    </xf>
    <xf numFmtId="0" fontId="13" fillId="0" borderId="39" xfId="108" applyFont="1" applyBorder="1" applyAlignment="1">
      <alignment horizontal="center" vertical="center"/>
      <protection/>
    </xf>
    <xf numFmtId="49" fontId="3" fillId="0" borderId="61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vertical="center"/>
    </xf>
    <xf numFmtId="3" fontId="11" fillId="0" borderId="0" xfId="108" applyNumberFormat="1">
      <alignment/>
      <protection/>
    </xf>
    <xf numFmtId="10" fontId="53" fillId="0" borderId="45" xfId="0" applyNumberFormat="1" applyFont="1" applyBorder="1" applyAlignment="1">
      <alignment horizontal="right" vertical="center" wrapText="1" indent="1"/>
    </xf>
    <xf numFmtId="3" fontId="41" fillId="0" borderId="62" xfId="108" applyNumberFormat="1" applyFont="1" applyBorder="1" applyAlignment="1">
      <alignment horizontal="right"/>
      <protection/>
    </xf>
    <xf numFmtId="0" fontId="41" fillId="0" borderId="19" xfId="108" applyFont="1" applyBorder="1" applyAlignment="1">
      <alignment horizontal="right"/>
      <protection/>
    </xf>
    <xf numFmtId="3" fontId="41" fillId="0" borderId="19" xfId="108" applyNumberFormat="1" applyFont="1" applyBorder="1" applyAlignment="1">
      <alignment horizontal="right"/>
      <protection/>
    </xf>
    <xf numFmtId="3" fontId="41" fillId="0" borderId="63" xfId="108" applyNumberFormat="1" applyFont="1" applyBorder="1" applyAlignment="1">
      <alignment horizontal="right"/>
      <protection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Continuous" vertical="center" wrapText="1"/>
    </xf>
    <xf numFmtId="0" fontId="3" fillId="0" borderId="45" xfId="0" applyFont="1" applyBorder="1" applyAlignment="1">
      <alignment horizontal="centerContinuous" vertical="center" wrapText="1"/>
    </xf>
    <xf numFmtId="3" fontId="7" fillId="0" borderId="64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11" fillId="0" borderId="36" xfId="108" applyBorder="1" applyAlignment="1">
      <alignment vertical="center" wrapText="1"/>
      <protection/>
    </xf>
    <xf numFmtId="0" fontId="11" fillId="0" borderId="34" xfId="108" applyBorder="1" applyAlignment="1">
      <alignment vertical="center" wrapText="1"/>
      <protection/>
    </xf>
    <xf numFmtId="0" fontId="11" fillId="0" borderId="38" xfId="108" applyBorder="1" applyAlignment="1">
      <alignment vertical="center" wrapText="1"/>
      <protection/>
    </xf>
    <xf numFmtId="0" fontId="11" fillId="0" borderId="65" xfId="108" applyBorder="1" applyAlignment="1">
      <alignment vertical="center" wrapText="1"/>
      <protection/>
    </xf>
    <xf numFmtId="0" fontId="13" fillId="0" borderId="39" xfId="108" applyFont="1" applyBorder="1" applyAlignment="1">
      <alignment vertical="center" wrapText="1"/>
      <protection/>
    </xf>
    <xf numFmtId="0" fontId="17" fillId="0" borderId="39" xfId="108" applyFont="1" applyBorder="1" applyAlignment="1">
      <alignment horizontal="center" vertical="center" wrapText="1"/>
      <protection/>
    </xf>
    <xf numFmtId="0" fontId="11" fillId="0" borderId="51" xfId="108" applyBorder="1" applyAlignment="1">
      <alignment vertical="center" wrapText="1"/>
      <protection/>
    </xf>
    <xf numFmtId="0" fontId="13" fillId="0" borderId="39" xfId="108" applyFont="1" applyBorder="1" applyAlignment="1">
      <alignment vertical="center"/>
      <protection/>
    </xf>
    <xf numFmtId="0" fontId="11" fillId="0" borderId="38" xfId="108" applyBorder="1" applyAlignment="1">
      <alignment vertical="center"/>
      <protection/>
    </xf>
    <xf numFmtId="0" fontId="10" fillId="0" borderId="52" xfId="0" applyFont="1" applyBorder="1" applyAlignment="1">
      <alignment horizontal="center" vertical="center" wrapText="1"/>
    </xf>
    <xf numFmtId="0" fontId="38" fillId="0" borderId="39" xfId="108" applyFont="1" applyBorder="1" applyAlignment="1">
      <alignment horizontal="center" vertical="center"/>
      <protection/>
    </xf>
    <xf numFmtId="0" fontId="13" fillId="0" borderId="44" xfId="108" applyFont="1" applyBorder="1" applyAlignment="1">
      <alignment horizontal="center" vertical="center"/>
      <protection/>
    </xf>
    <xf numFmtId="0" fontId="13" fillId="0" borderId="27" xfId="108" applyFont="1" applyBorder="1" applyAlignment="1">
      <alignment horizontal="center" vertical="center"/>
      <protection/>
    </xf>
    <xf numFmtId="0" fontId="13" fillId="0" borderId="45" xfId="108" applyFont="1" applyBorder="1" applyAlignment="1">
      <alignment horizontal="center" vertical="center"/>
      <protection/>
    </xf>
    <xf numFmtId="3" fontId="11" fillId="0" borderId="26" xfId="108" applyNumberFormat="1" applyBorder="1" applyAlignment="1">
      <alignment vertical="center"/>
      <protection/>
    </xf>
    <xf numFmtId="3" fontId="11" fillId="0" borderId="19" xfId="108" applyNumberFormat="1" applyBorder="1" applyAlignment="1">
      <alignment vertical="center"/>
      <protection/>
    </xf>
    <xf numFmtId="3" fontId="11" fillId="0" borderId="29" xfId="108" applyNumberFormat="1" applyBorder="1" applyAlignment="1">
      <alignment vertical="center"/>
      <protection/>
    </xf>
    <xf numFmtId="3" fontId="11" fillId="0" borderId="23" xfId="108" applyNumberFormat="1" applyBorder="1" applyAlignment="1">
      <alignment vertical="center"/>
      <protection/>
    </xf>
    <xf numFmtId="3" fontId="11" fillId="0" borderId="40" xfId="108" applyNumberFormat="1" applyBorder="1" applyAlignment="1">
      <alignment vertical="center"/>
      <protection/>
    </xf>
    <xf numFmtId="3" fontId="13" fillId="0" borderId="29" xfId="108" applyNumberFormat="1" applyFont="1" applyBorder="1" applyAlignment="1">
      <alignment vertical="center"/>
      <protection/>
    </xf>
    <xf numFmtId="3" fontId="13" fillId="0" borderId="44" xfId="108" applyNumberFormat="1" applyFont="1" applyBorder="1" applyAlignment="1">
      <alignment vertical="center"/>
      <protection/>
    </xf>
    <xf numFmtId="3" fontId="17" fillId="0" borderId="44" xfId="108" applyNumberFormat="1" applyFont="1" applyBorder="1" applyAlignment="1">
      <alignment vertical="center"/>
      <protection/>
    </xf>
    <xf numFmtId="3" fontId="11" fillId="0" borderId="22" xfId="108" applyNumberFormat="1" applyBorder="1" applyAlignment="1">
      <alignment vertical="center"/>
      <protection/>
    </xf>
    <xf numFmtId="3" fontId="17" fillId="0" borderId="29" xfId="108" applyNumberFormat="1" applyFont="1" applyBorder="1" applyAlignment="1">
      <alignment vertical="center"/>
      <protection/>
    </xf>
    <xf numFmtId="3" fontId="17" fillId="0" borderId="40" xfId="108" applyNumberFormat="1" applyFont="1" applyBorder="1" applyAlignment="1">
      <alignment vertical="center"/>
      <protection/>
    </xf>
    <xf numFmtId="3" fontId="38" fillId="0" borderId="40" xfId="108" applyNumberFormat="1" applyFont="1" applyBorder="1" applyAlignment="1">
      <alignment vertical="center"/>
      <protection/>
    </xf>
    <xf numFmtId="3" fontId="11" fillId="0" borderId="44" xfId="108" applyNumberFormat="1" applyBorder="1" applyAlignment="1">
      <alignment vertical="center"/>
      <protection/>
    </xf>
    <xf numFmtId="3" fontId="38" fillId="0" borderId="44" xfId="108" applyNumberFormat="1" applyFont="1" applyBorder="1" applyAlignment="1">
      <alignment vertical="center"/>
      <protection/>
    </xf>
    <xf numFmtId="0" fontId="3" fillId="0" borderId="44" xfId="0" applyFont="1" applyBorder="1" applyAlignment="1">
      <alignment horizontal="centerContinuous" vertical="center" wrapText="1"/>
    </xf>
    <xf numFmtId="3" fontId="3" fillId="0" borderId="29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3" fontId="7" fillId="49" borderId="22" xfId="0" applyNumberFormat="1" applyFont="1" applyFill="1" applyBorder="1" applyAlignment="1">
      <alignment horizontal="right" vertical="center" wrapText="1"/>
    </xf>
    <xf numFmtId="3" fontId="7" fillId="49" borderId="30" xfId="0" applyNumberFormat="1" applyFont="1" applyFill="1" applyBorder="1" applyAlignment="1">
      <alignment horizontal="right" vertical="center" wrapText="1"/>
    </xf>
    <xf numFmtId="49" fontId="0" fillId="0" borderId="41" xfId="0" applyNumberFormat="1" applyFont="1" applyBorder="1" applyAlignment="1">
      <alignment horizontal="left"/>
    </xf>
    <xf numFmtId="49" fontId="7" fillId="0" borderId="66" xfId="0" applyNumberFormat="1" applyFont="1" applyBorder="1" applyAlignment="1">
      <alignment horizontal="left" vertical="center"/>
    </xf>
    <xf numFmtId="0" fontId="49" fillId="0" borderId="56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169" fontId="53" fillId="0" borderId="49" xfId="0" applyNumberFormat="1" applyFont="1" applyBorder="1" applyAlignment="1">
      <alignment horizontal="right" vertical="center" wrapText="1" indent="1"/>
    </xf>
    <xf numFmtId="169" fontId="53" fillId="0" borderId="49" xfId="0" applyNumberFormat="1" applyFont="1" applyBorder="1" applyAlignment="1" applyProtection="1">
      <alignment horizontal="right" vertical="center" wrapText="1" indent="1"/>
      <protection locked="0"/>
    </xf>
    <xf numFmtId="10" fontId="53" fillId="0" borderId="39" xfId="0" applyNumberFormat="1" applyFont="1" applyBorder="1" applyAlignment="1">
      <alignment horizontal="right" vertical="center" wrapText="1" indent="1"/>
    </xf>
    <xf numFmtId="10" fontId="45" fillId="0" borderId="51" xfId="0" applyNumberFormat="1" applyFont="1" applyBorder="1" applyAlignment="1">
      <alignment horizontal="right" vertical="center" wrapText="1" indent="1"/>
    </xf>
    <xf numFmtId="169" fontId="53" fillId="0" borderId="39" xfId="0" applyNumberFormat="1" applyFont="1" applyBorder="1" applyAlignment="1">
      <alignment horizontal="right" vertical="center" wrapText="1" indent="1"/>
    </xf>
    <xf numFmtId="169" fontId="49" fillId="0" borderId="29" xfId="0" applyNumberFormat="1" applyFont="1" applyBorder="1" applyAlignment="1">
      <alignment horizontal="center" vertical="center" wrapText="1"/>
    </xf>
    <xf numFmtId="169" fontId="53" fillId="0" borderId="44" xfId="0" applyNumberFormat="1" applyFont="1" applyBorder="1" applyAlignment="1">
      <alignment horizontal="right" vertical="center" wrapText="1" indent="1"/>
    </xf>
    <xf numFmtId="169" fontId="45" fillId="0" borderId="19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22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40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44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48" xfId="0" applyNumberFormat="1" applyFont="1" applyBorder="1" applyAlignment="1">
      <alignment horizontal="right" vertical="center" wrapText="1" indent="1"/>
    </xf>
    <xf numFmtId="169" fontId="45" fillId="0" borderId="23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44" xfId="0" applyNumberFormat="1" applyFont="1" applyBorder="1" applyAlignment="1">
      <alignment horizontal="right" vertical="center" wrapText="1" indent="1"/>
    </xf>
    <xf numFmtId="169" fontId="45" fillId="0" borderId="26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42" xfId="0" applyNumberFormat="1" applyFont="1" applyBorder="1" applyAlignment="1" applyProtection="1">
      <alignment horizontal="right" vertical="center" wrapText="1" indent="1"/>
      <protection locked="0"/>
    </xf>
    <xf numFmtId="0" fontId="53" fillId="0" borderId="59" xfId="111" applyFont="1" applyBorder="1" applyAlignment="1">
      <alignment horizontal="left" vertical="center" wrapText="1" indent="1"/>
      <protection/>
    </xf>
    <xf numFmtId="0" fontId="45" fillId="0" borderId="67" xfId="111" applyFont="1" applyBorder="1" applyAlignment="1">
      <alignment horizontal="left" vertical="center" wrapText="1" indent="1"/>
      <protection/>
    </xf>
    <xf numFmtId="0" fontId="45" fillId="0" borderId="62" xfId="111" applyFont="1" applyBorder="1" applyAlignment="1">
      <alignment horizontal="left" vertical="center" wrapText="1" indent="1"/>
      <protection/>
    </xf>
    <xf numFmtId="0" fontId="53" fillId="0" borderId="59" xfId="111" applyFont="1" applyBorder="1" applyAlignment="1">
      <alignment horizontal="left" vertical="center" wrapText="1" indent="1"/>
      <protection/>
    </xf>
    <xf numFmtId="0" fontId="53" fillId="0" borderId="39" xfId="111" applyFont="1" applyBorder="1" applyAlignment="1">
      <alignment horizontal="left" vertical="center" wrapText="1" indent="1"/>
      <protection/>
    </xf>
    <xf numFmtId="0" fontId="49" fillId="0" borderId="59" xfId="0" applyFont="1" applyBorder="1" applyAlignment="1">
      <alignment horizontal="left" vertical="center" wrapText="1" indent="1"/>
    </xf>
    <xf numFmtId="0" fontId="28" fillId="0" borderId="39" xfId="0" applyFont="1" applyBorder="1" applyAlignment="1">
      <alignment vertical="center" wrapText="1"/>
    </xf>
    <xf numFmtId="169" fontId="45" fillId="0" borderId="26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19" xfId="0" applyNumberFormat="1" applyFont="1" applyBorder="1" applyAlignment="1" applyProtection="1">
      <alignment horizontal="right" vertical="center" wrapText="1" indent="1"/>
      <protection locked="0"/>
    </xf>
    <xf numFmtId="3" fontId="28" fillId="0" borderId="45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6" xfId="0" applyNumberFormat="1" applyFont="1" applyBorder="1" applyAlignment="1">
      <alignment horizontal="right" vertical="center" wrapText="1" indent="1"/>
    </xf>
    <xf numFmtId="0" fontId="49" fillId="0" borderId="48" xfId="0" applyFont="1" applyBorder="1" applyAlignment="1">
      <alignment horizontal="center" vertical="center" wrapText="1"/>
    </xf>
    <xf numFmtId="169" fontId="45" fillId="0" borderId="68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68" xfId="0" applyNumberFormat="1" applyFont="1" applyBorder="1" applyAlignment="1" applyProtection="1">
      <alignment horizontal="right" vertical="center" wrapText="1" indent="1"/>
      <protection locked="0"/>
    </xf>
    <xf numFmtId="3" fontId="28" fillId="0" borderId="44" xfId="0" applyNumberFormat="1" applyFont="1" applyBorder="1" applyAlignment="1" applyProtection="1">
      <alignment horizontal="right" vertical="center" wrapText="1" indent="1"/>
      <protection locked="0"/>
    </xf>
    <xf numFmtId="0" fontId="49" fillId="0" borderId="69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left" vertical="center" wrapText="1" indent="1"/>
    </xf>
    <xf numFmtId="0" fontId="45" fillId="0" borderId="70" xfId="111" applyFont="1" applyBorder="1" applyAlignment="1">
      <alignment horizontal="left" vertical="center" wrapText="1" indent="1"/>
      <protection/>
    </xf>
    <xf numFmtId="0" fontId="45" fillId="0" borderId="71" xfId="111" applyFont="1" applyBorder="1" applyAlignment="1">
      <alignment horizontal="left" vertical="center" wrapText="1" indent="1"/>
      <protection/>
    </xf>
    <xf numFmtId="0" fontId="53" fillId="0" borderId="69" xfId="111" applyFont="1" applyBorder="1" applyAlignment="1">
      <alignment horizontal="left" vertical="center" wrapText="1" indent="1"/>
      <protection/>
    </xf>
    <xf numFmtId="0" fontId="45" fillId="0" borderId="72" xfId="111" applyFont="1" applyBorder="1" applyAlignment="1">
      <alignment horizontal="left" vertical="center" wrapText="1" indent="1"/>
      <protection/>
    </xf>
    <xf numFmtId="0" fontId="50" fillId="0" borderId="39" xfId="0" applyFont="1" applyBorder="1" applyAlignment="1">
      <alignment horizontal="left" wrapText="1" indent="1"/>
    </xf>
    <xf numFmtId="0" fontId="53" fillId="0" borderId="49" xfId="0" applyFont="1" applyBorder="1" applyAlignment="1">
      <alignment horizontal="center" vertical="center" wrapText="1"/>
    </xf>
    <xf numFmtId="169" fontId="49" fillId="0" borderId="73" xfId="0" applyNumberFormat="1" applyFont="1" applyBorder="1" applyAlignment="1">
      <alignment horizontal="center" vertical="center" wrapText="1"/>
    </xf>
    <xf numFmtId="10" fontId="45" fillId="0" borderId="34" xfId="0" applyNumberFormat="1" applyFont="1" applyBorder="1" applyAlignment="1">
      <alignment horizontal="right" vertical="center" wrapText="1" indent="1"/>
    </xf>
    <xf numFmtId="169" fontId="45" fillId="0" borderId="36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34" xfId="0" applyNumberFormat="1" applyFont="1" applyBorder="1" applyAlignment="1" applyProtection="1">
      <alignment horizontal="right" vertical="center" wrapText="1" indent="1"/>
      <protection locked="0"/>
    </xf>
    <xf numFmtId="169" fontId="49" fillId="0" borderId="74" xfId="0" applyNumberFormat="1" applyFont="1" applyBorder="1" applyAlignment="1">
      <alignment horizontal="center" vertical="center" wrapText="1"/>
    </xf>
    <xf numFmtId="10" fontId="45" fillId="0" borderId="25" xfId="0" applyNumberFormat="1" applyFont="1" applyBorder="1" applyAlignment="1">
      <alignment horizontal="right" vertical="center" wrapText="1" indent="1"/>
    </xf>
    <xf numFmtId="169" fontId="49" fillId="0" borderId="48" xfId="0" applyNumberFormat="1" applyFont="1" applyBorder="1" applyAlignment="1">
      <alignment horizontal="center" vertical="center" wrapText="1"/>
    </xf>
    <xf numFmtId="0" fontId="0" fillId="0" borderId="64" xfId="0" applyFont="1" applyBorder="1" applyAlignment="1">
      <alignment horizontal="right" vertical="center" wrapText="1" indent="1"/>
    </xf>
    <xf numFmtId="0" fontId="0" fillId="0" borderId="74" xfId="0" applyFont="1" applyBorder="1" applyAlignment="1">
      <alignment horizontal="right" vertical="center" wrapText="1" indent="1"/>
    </xf>
    <xf numFmtId="0" fontId="0" fillId="0" borderId="75" xfId="0" applyFont="1" applyBorder="1" applyAlignment="1">
      <alignment horizontal="right" vertical="center" wrapText="1" indent="1"/>
    </xf>
    <xf numFmtId="0" fontId="28" fillId="0" borderId="49" xfId="0" applyFont="1" applyBorder="1" applyAlignment="1">
      <alignment vertical="center"/>
    </xf>
    <xf numFmtId="10" fontId="53" fillId="0" borderId="47" xfId="0" applyNumberFormat="1" applyFont="1" applyBorder="1" applyAlignment="1">
      <alignment horizontal="right" vertical="center" wrapText="1" indent="1"/>
    </xf>
    <xf numFmtId="169" fontId="53" fillId="0" borderId="76" xfId="0" applyNumberFormat="1" applyFont="1" applyBorder="1" applyAlignment="1">
      <alignment horizontal="right" vertical="center" wrapText="1" indent="1"/>
    </xf>
    <xf numFmtId="169" fontId="45" fillId="0" borderId="77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77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76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76" xfId="0" applyNumberFormat="1" applyFont="1" applyBorder="1" applyAlignment="1">
      <alignment horizontal="right" vertical="center" wrapText="1" indent="1"/>
    </xf>
    <xf numFmtId="0" fontId="0" fillId="0" borderId="78" xfId="0" applyFont="1" applyBorder="1" applyAlignment="1">
      <alignment horizontal="right" vertical="center" wrapText="1" indent="1"/>
    </xf>
    <xf numFmtId="3" fontId="28" fillId="0" borderId="76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Border="1" applyAlignment="1">
      <alignment horizontal="right" vertical="center" wrapText="1" indent="1"/>
    </xf>
    <xf numFmtId="49" fontId="45" fillId="0" borderId="24" xfId="0" applyNumberFormat="1" applyFont="1" applyBorder="1" applyAlignment="1" applyProtection="1">
      <alignment horizontal="right" vertical="center" wrapText="1" indent="1"/>
      <protection locked="0"/>
    </xf>
    <xf numFmtId="49" fontId="45" fillId="0" borderId="30" xfId="0" applyNumberFormat="1" applyFont="1" applyBorder="1" applyAlignment="1" applyProtection="1">
      <alignment horizontal="right" vertical="center" wrapText="1" indent="1"/>
      <protection locked="0"/>
    </xf>
    <xf numFmtId="49" fontId="45" fillId="0" borderId="50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3" xfId="0" applyNumberFormat="1" applyFont="1" applyBorder="1" applyAlignment="1">
      <alignment horizontal="right" vertical="center" wrapText="1" indent="1"/>
    </xf>
    <xf numFmtId="49" fontId="45" fillId="0" borderId="20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Border="1" applyAlignment="1">
      <alignment horizontal="right" vertical="center" wrapText="1" indent="1"/>
    </xf>
    <xf numFmtId="49" fontId="53" fillId="0" borderId="45" xfId="0" applyNumberFormat="1" applyFont="1" applyBorder="1" applyAlignment="1">
      <alignment horizontal="right" vertical="center" wrapText="1" indent="1"/>
    </xf>
    <xf numFmtId="49" fontId="45" fillId="0" borderId="57" xfId="0" applyNumberFormat="1" applyFont="1" applyBorder="1" applyAlignment="1" applyProtection="1">
      <alignment horizontal="right" vertical="center" wrapText="1" indent="1"/>
      <protection locked="0"/>
    </xf>
    <xf numFmtId="49" fontId="45" fillId="0" borderId="25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5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5" xfId="0" applyNumberFormat="1" applyFont="1" applyBorder="1" applyAlignment="1">
      <alignment horizontal="right" vertical="center" wrapText="1" indent="1"/>
    </xf>
    <xf numFmtId="49" fontId="0" fillId="0" borderId="75" xfId="0" applyNumberFormat="1" applyFont="1" applyBorder="1" applyAlignment="1">
      <alignment horizontal="right" vertical="center" wrapText="1" indent="1"/>
    </xf>
    <xf numFmtId="49" fontId="28" fillId="0" borderId="45" xfId="0" applyNumberFormat="1" applyFont="1" applyBorder="1" applyAlignment="1" applyProtection="1">
      <alignment horizontal="right" vertical="center" wrapText="1" indent="1"/>
      <protection locked="0"/>
    </xf>
    <xf numFmtId="0" fontId="36" fillId="0" borderId="23" xfId="109" applyFont="1" applyBorder="1" applyAlignment="1">
      <alignment horizontal="center" vertical="center" wrapText="1"/>
      <protection/>
    </xf>
    <xf numFmtId="0" fontId="11" fillId="0" borderId="53" xfId="108" applyBorder="1">
      <alignment/>
      <protection/>
    </xf>
    <xf numFmtId="0" fontId="12" fillId="1" borderId="42" xfId="108" applyFont="1" applyFill="1" applyBorder="1" applyAlignment="1">
      <alignment horizontal="center" vertical="center" wrapText="1"/>
      <protection/>
    </xf>
    <xf numFmtId="0" fontId="7" fillId="0" borderId="34" xfId="0" applyFont="1" applyBorder="1" applyAlignment="1">
      <alignment horizontal="left" wrapText="1"/>
    </xf>
    <xf numFmtId="3" fontId="7" fillId="0" borderId="23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2" fillId="0" borderId="44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49" fontId="3" fillId="0" borderId="66" xfId="0" applyNumberFormat="1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 wrapText="1"/>
    </xf>
    <xf numFmtId="0" fontId="0" fillId="0" borderId="66" xfId="0" applyFont="1" applyBorder="1" applyAlignment="1">
      <alignment/>
    </xf>
    <xf numFmtId="49" fontId="3" fillId="0" borderId="66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 vertical="center"/>
    </xf>
    <xf numFmtId="3" fontId="7" fillId="0" borderId="66" xfId="0" applyNumberFormat="1" applyFont="1" applyBorder="1" applyAlignment="1">
      <alignment vertical="center"/>
    </xf>
    <xf numFmtId="0" fontId="1" fillId="0" borderId="0" xfId="105">
      <alignment/>
      <protection/>
    </xf>
    <xf numFmtId="0" fontId="1" fillId="0" borderId="0" xfId="105" applyAlignment="1">
      <alignment wrapText="1"/>
      <protection/>
    </xf>
    <xf numFmtId="0" fontId="69" fillId="0" borderId="0" xfId="105" applyFont="1" applyAlignment="1">
      <alignment horizontal="center" vertical="center"/>
      <protection/>
    </xf>
    <xf numFmtId="0" fontId="50" fillId="0" borderId="32" xfId="105" applyFont="1" applyBorder="1" applyAlignment="1">
      <alignment horizontal="center" vertical="center" wrapText="1"/>
      <protection/>
    </xf>
    <xf numFmtId="0" fontId="66" fillId="0" borderId="19" xfId="105" applyFont="1" applyBorder="1">
      <alignment/>
      <protection/>
    </xf>
    <xf numFmtId="0" fontId="58" fillId="0" borderId="0" xfId="105" applyFont="1" applyAlignment="1">
      <alignment vertical="center"/>
      <protection/>
    </xf>
    <xf numFmtId="0" fontId="1" fillId="0" borderId="19" xfId="105" applyBorder="1">
      <alignment/>
      <protection/>
    </xf>
    <xf numFmtId="0" fontId="66" fillId="0" borderId="33" xfId="105" applyFont="1" applyBorder="1">
      <alignment/>
      <protection/>
    </xf>
    <xf numFmtId="0" fontId="66" fillId="0" borderId="37" xfId="105" applyFont="1" applyBorder="1">
      <alignment/>
      <protection/>
    </xf>
    <xf numFmtId="0" fontId="66" fillId="0" borderId="32" xfId="105" applyFont="1" applyBorder="1" applyAlignment="1">
      <alignment vertical="center"/>
      <protection/>
    </xf>
    <xf numFmtId="0" fontId="1" fillId="0" borderId="0" xfId="105" applyAlignment="1">
      <alignment vertical="center"/>
      <protection/>
    </xf>
    <xf numFmtId="0" fontId="66" fillId="0" borderId="35" xfId="105" applyFont="1" applyBorder="1">
      <alignment/>
      <protection/>
    </xf>
    <xf numFmtId="0" fontId="66" fillId="0" borderId="53" xfId="105" applyFont="1" applyBorder="1">
      <alignment/>
      <protection/>
    </xf>
    <xf numFmtId="0" fontId="66" fillId="0" borderId="0" xfId="105" applyFont="1">
      <alignment/>
      <protection/>
    </xf>
    <xf numFmtId="0" fontId="66" fillId="0" borderId="0" xfId="105" applyFont="1" applyAlignment="1">
      <alignment vertical="center"/>
      <protection/>
    </xf>
    <xf numFmtId="0" fontId="66" fillId="0" borderId="32" xfId="105" applyFont="1" applyBorder="1">
      <alignment/>
      <protection/>
    </xf>
    <xf numFmtId="0" fontId="70" fillId="0" borderId="41" xfId="105" applyFont="1" applyBorder="1" applyAlignment="1">
      <alignment vertical="center"/>
      <protection/>
    </xf>
    <xf numFmtId="0" fontId="50" fillId="0" borderId="27" xfId="105" applyFont="1" applyBorder="1" applyAlignment="1">
      <alignment horizontal="center" vertical="center" wrapText="1"/>
      <protection/>
    </xf>
    <xf numFmtId="3" fontId="66" fillId="0" borderId="42" xfId="105" applyNumberFormat="1" applyFont="1" applyBorder="1" applyAlignment="1">
      <alignment horizontal="right"/>
      <protection/>
    </xf>
    <xf numFmtId="3" fontId="1" fillId="0" borderId="24" xfId="105" applyNumberFormat="1" applyBorder="1" applyAlignment="1">
      <alignment horizontal="right"/>
      <protection/>
    </xf>
    <xf numFmtId="3" fontId="66" fillId="0" borderId="24" xfId="105" applyNumberFormat="1" applyFont="1" applyBorder="1" applyAlignment="1">
      <alignment horizontal="right"/>
      <protection/>
    </xf>
    <xf numFmtId="3" fontId="66" fillId="0" borderId="27" xfId="105" applyNumberFormat="1" applyFont="1" applyBorder="1" applyAlignment="1">
      <alignment horizontal="right" vertical="center"/>
      <protection/>
    </xf>
    <xf numFmtId="3" fontId="66" fillId="0" borderId="27" xfId="105" applyNumberFormat="1" applyFont="1" applyBorder="1" applyAlignment="1">
      <alignment vertical="center"/>
      <protection/>
    </xf>
    <xf numFmtId="3" fontId="66" fillId="0" borderId="42" xfId="105" applyNumberFormat="1" applyFont="1" applyBorder="1">
      <alignment/>
      <protection/>
    </xf>
    <xf numFmtId="3" fontId="1" fillId="0" borderId="24" xfId="105" applyNumberFormat="1" applyBorder="1">
      <alignment/>
      <protection/>
    </xf>
    <xf numFmtId="3" fontId="66" fillId="0" borderId="27" xfId="105" applyNumberFormat="1" applyFont="1" applyBorder="1">
      <alignment/>
      <protection/>
    </xf>
    <xf numFmtId="3" fontId="66" fillId="0" borderId="24" xfId="105" applyNumberFormat="1" applyFont="1" applyBorder="1">
      <alignment/>
      <protection/>
    </xf>
    <xf numFmtId="3" fontId="66" fillId="0" borderId="28" xfId="105" applyNumberFormat="1" applyFont="1" applyBorder="1">
      <alignment/>
      <protection/>
    </xf>
    <xf numFmtId="3" fontId="70" fillId="0" borderId="20" xfId="105" applyNumberFormat="1" applyFont="1" applyBorder="1" applyAlignment="1">
      <alignment vertical="center"/>
      <protection/>
    </xf>
    <xf numFmtId="0" fontId="53" fillId="0" borderId="64" xfId="0" applyFont="1" applyBorder="1" applyAlignment="1">
      <alignment horizontal="center" vertical="center" wrapText="1"/>
    </xf>
    <xf numFmtId="49" fontId="45" fillId="0" borderId="74" xfId="111" applyNumberFormat="1" applyFont="1" applyBorder="1" applyAlignment="1">
      <alignment horizontal="left" vertical="center" wrapText="1" indent="1"/>
      <protection/>
    </xf>
    <xf numFmtId="169" fontId="45" fillId="0" borderId="64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74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75" xfId="0" applyNumberFormat="1" applyFont="1" applyBorder="1" applyAlignment="1" applyProtection="1">
      <alignment horizontal="right" vertical="center" wrapText="1" indent="1"/>
      <protection locked="0"/>
    </xf>
    <xf numFmtId="49" fontId="0" fillId="0" borderId="79" xfId="0" applyNumberFormat="1" applyFont="1" applyBorder="1" applyAlignment="1">
      <alignment horizontal="left"/>
    </xf>
    <xf numFmtId="49" fontId="7" fillId="0" borderId="65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13" fillId="0" borderId="52" xfId="108" applyFont="1" applyBorder="1" applyAlignment="1">
      <alignment vertical="center" wrapText="1"/>
      <protection/>
    </xf>
    <xf numFmtId="49" fontId="7" fillId="0" borderId="41" xfId="0" applyNumberFormat="1" applyFont="1" applyBorder="1" applyAlignment="1">
      <alignment horizontal="left" vertical="center"/>
    </xf>
    <xf numFmtId="49" fontId="7" fillId="0" borderId="65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vertical="center"/>
    </xf>
    <xf numFmtId="0" fontId="1" fillId="0" borderId="33" xfId="105" applyBorder="1">
      <alignment/>
      <protection/>
    </xf>
    <xf numFmtId="0" fontId="66" fillId="0" borderId="41" xfId="105" applyFont="1" applyBorder="1">
      <alignment/>
      <protection/>
    </xf>
    <xf numFmtId="3" fontId="66" fillId="0" borderId="20" xfId="105" applyNumberFormat="1" applyFont="1" applyBorder="1">
      <alignment/>
      <protection/>
    </xf>
    <xf numFmtId="3" fontId="66" fillId="0" borderId="20" xfId="105" applyNumberFormat="1" applyFont="1" applyBorder="1" applyAlignment="1">
      <alignment horizontal="right"/>
      <protection/>
    </xf>
    <xf numFmtId="0" fontId="15" fillId="0" borderId="19" xfId="108" applyFont="1" applyBorder="1" applyAlignment="1">
      <alignment horizontal="right" wrapText="1"/>
      <protection/>
    </xf>
    <xf numFmtId="0" fontId="71" fillId="0" borderId="0" xfId="108" applyFont="1" applyAlignment="1">
      <alignment horizontal="right"/>
      <protection/>
    </xf>
    <xf numFmtId="0" fontId="19" fillId="0" borderId="0" xfId="110">
      <alignment/>
      <protection/>
    </xf>
    <xf numFmtId="0" fontId="71" fillId="0" borderId="0" xfId="108" applyFont="1">
      <alignment/>
      <protection/>
    </xf>
    <xf numFmtId="0" fontId="13" fillId="0" borderId="44" xfId="108" applyFont="1" applyBorder="1" applyAlignment="1">
      <alignment horizontal="center" vertical="center" wrapText="1"/>
      <protection/>
    </xf>
    <xf numFmtId="0" fontId="11" fillId="0" borderId="53" xfId="108" applyBorder="1" applyAlignment="1">
      <alignment vertical="center" wrapText="1"/>
      <protection/>
    </xf>
    <xf numFmtId="0" fontId="11" fillId="0" borderId="0" xfId="108" applyAlignment="1">
      <alignment vertical="center" wrapText="1"/>
      <protection/>
    </xf>
    <xf numFmtId="168" fontId="74" fillId="0" borderId="66" xfId="110" applyNumberFormat="1" applyFont="1" applyBorder="1" applyAlignment="1">
      <alignment horizontal="center" vertical="center" wrapText="1"/>
      <protection/>
    </xf>
    <xf numFmtId="3" fontId="74" fillId="0" borderId="48" xfId="110" applyNumberFormat="1" applyFont="1" applyBorder="1" applyAlignment="1">
      <alignment horizontal="center" vertical="center" wrapText="1"/>
      <protection/>
    </xf>
    <xf numFmtId="3" fontId="74" fillId="0" borderId="43" xfId="110" applyNumberFormat="1" applyFont="1" applyBorder="1" applyAlignment="1">
      <alignment horizontal="center" vertical="center" wrapText="1"/>
      <protection/>
    </xf>
    <xf numFmtId="3" fontId="74" fillId="0" borderId="55" xfId="110" applyNumberFormat="1" applyFont="1" applyBorder="1" applyAlignment="1">
      <alignment horizontal="center" vertical="center" wrapText="1"/>
      <protection/>
    </xf>
    <xf numFmtId="3" fontId="76" fillId="0" borderId="22" xfId="110" applyNumberFormat="1" applyFont="1" applyBorder="1" applyAlignment="1">
      <alignment vertical="top"/>
      <protection/>
    </xf>
    <xf numFmtId="3" fontId="76" fillId="0" borderId="30" xfId="110" applyNumberFormat="1" applyFont="1" applyBorder="1" applyAlignment="1">
      <alignment vertical="top"/>
      <protection/>
    </xf>
    <xf numFmtId="3" fontId="76" fillId="0" borderId="46" xfId="110" applyNumberFormat="1" applyFont="1" applyBorder="1" applyAlignment="1">
      <alignment vertical="top"/>
      <protection/>
    </xf>
    <xf numFmtId="3" fontId="76" fillId="0" borderId="19" xfId="110" applyNumberFormat="1" applyFont="1" applyBorder="1" applyAlignment="1">
      <alignment vertical="top"/>
      <protection/>
    </xf>
    <xf numFmtId="3" fontId="76" fillId="0" borderId="24" xfId="110" applyNumberFormat="1" applyFont="1" applyBorder="1" applyAlignment="1">
      <alignment vertical="top"/>
      <protection/>
    </xf>
    <xf numFmtId="10" fontId="76" fillId="0" borderId="25" xfId="110" applyNumberFormat="1" applyFont="1" applyBorder="1" applyAlignment="1">
      <alignment vertical="top"/>
      <protection/>
    </xf>
    <xf numFmtId="3" fontId="76" fillId="0" borderId="25" xfId="110" applyNumberFormat="1" applyFont="1" applyBorder="1" applyAlignment="1">
      <alignment vertical="top"/>
      <protection/>
    </xf>
    <xf numFmtId="3" fontId="76" fillId="0" borderId="19" xfId="110" applyNumberFormat="1" applyFont="1" applyBorder="1">
      <alignment/>
      <protection/>
    </xf>
    <xf numFmtId="3" fontId="76" fillId="0" borderId="24" xfId="110" applyNumberFormat="1" applyFont="1" applyBorder="1">
      <alignment/>
      <protection/>
    </xf>
    <xf numFmtId="3" fontId="76" fillId="0" borderId="25" xfId="110" applyNumberFormat="1" applyFont="1" applyBorder="1">
      <alignment/>
      <protection/>
    </xf>
    <xf numFmtId="0" fontId="11" fillId="0" borderId="44" xfId="108" applyBorder="1" applyAlignment="1">
      <alignment horizontal="center" vertical="center"/>
      <protection/>
    </xf>
    <xf numFmtId="3" fontId="77" fillId="0" borderId="44" xfId="110" applyNumberFormat="1" applyFont="1" applyBorder="1" applyAlignment="1">
      <alignment vertical="center"/>
      <protection/>
    </xf>
    <xf numFmtId="3" fontId="77" fillId="0" borderId="27" xfId="110" applyNumberFormat="1" applyFont="1" applyBorder="1" applyAlignment="1">
      <alignment vertical="center"/>
      <protection/>
    </xf>
    <xf numFmtId="10" fontId="77" fillId="0" borderId="45" xfId="110" applyNumberFormat="1" applyFont="1" applyBorder="1" applyAlignment="1">
      <alignment vertical="center"/>
      <protection/>
    </xf>
    <xf numFmtId="0" fontId="79" fillId="0" borderId="0" xfId="108" applyFont="1" applyAlignment="1">
      <alignment vertical="center"/>
      <protection/>
    </xf>
    <xf numFmtId="0" fontId="80" fillId="0" borderId="53" xfId="108" applyFont="1" applyBorder="1" applyAlignment="1">
      <alignment vertical="center"/>
      <protection/>
    </xf>
    <xf numFmtId="0" fontId="23" fillId="50" borderId="74" xfId="108" applyFont="1" applyFill="1" applyBorder="1" applyAlignment="1">
      <alignment horizontal="center" vertical="center" wrapText="1"/>
      <protection/>
    </xf>
    <xf numFmtId="0" fontId="11" fillId="0" borderId="53" xfId="108" applyBorder="1" applyAlignment="1">
      <alignment vertical="center"/>
      <protection/>
    </xf>
    <xf numFmtId="0" fontId="23" fillId="50" borderId="37" xfId="108" applyFont="1" applyFill="1" applyBorder="1" applyAlignment="1">
      <alignment horizontal="center" vertical="center" wrapText="1"/>
      <protection/>
    </xf>
    <xf numFmtId="3" fontId="23" fillId="50" borderId="80" xfId="108" applyNumberFormat="1" applyFont="1" applyFill="1" applyBorder="1" applyAlignment="1">
      <alignment horizontal="center" vertical="center" wrapText="1"/>
      <protection/>
    </xf>
    <xf numFmtId="3" fontId="23" fillId="50" borderId="81" xfId="108" applyNumberFormat="1" applyFont="1" applyFill="1" applyBorder="1" applyAlignment="1">
      <alignment horizontal="center" vertical="center" wrapText="1"/>
      <protection/>
    </xf>
    <xf numFmtId="3" fontId="23" fillId="50" borderId="82" xfId="108" applyNumberFormat="1" applyFont="1" applyFill="1" applyBorder="1" applyAlignment="1">
      <alignment horizontal="center" vertical="center" wrapText="1"/>
      <protection/>
    </xf>
    <xf numFmtId="0" fontId="75" fillId="0" borderId="33" xfId="0" applyFont="1" applyBorder="1" applyAlignment="1">
      <alignment vertical="center" wrapText="1"/>
    </xf>
    <xf numFmtId="0" fontId="75" fillId="0" borderId="24" xfId="0" applyFont="1" applyBorder="1" applyAlignment="1">
      <alignment horizontal="center" vertical="center" wrapText="1"/>
    </xf>
    <xf numFmtId="3" fontId="32" fillId="0" borderId="24" xfId="108" applyNumberFormat="1" applyFont="1" applyBorder="1" applyAlignment="1">
      <alignment horizontal="right" vertical="center" wrapText="1"/>
      <protection/>
    </xf>
    <xf numFmtId="3" fontId="32" fillId="0" borderId="42" xfId="108" applyNumberFormat="1" applyFont="1" applyBorder="1" applyAlignment="1">
      <alignment horizontal="right" vertical="center" wrapText="1"/>
      <protection/>
    </xf>
    <xf numFmtId="10" fontId="32" fillId="0" borderId="42" xfId="108" applyNumberFormat="1" applyFont="1" applyBorder="1" applyAlignment="1">
      <alignment horizontal="right" vertical="center" wrapText="1"/>
      <protection/>
    </xf>
    <xf numFmtId="10" fontId="32" fillId="0" borderId="24" xfId="108" applyNumberFormat="1" applyFont="1" applyBorder="1" applyAlignment="1">
      <alignment horizontal="right" vertical="center" wrapText="1"/>
      <protection/>
    </xf>
    <xf numFmtId="10" fontId="32" fillId="0" borderId="25" xfId="108" applyNumberFormat="1" applyFont="1" applyBorder="1" applyAlignment="1">
      <alignment horizontal="right" vertical="center" wrapText="1"/>
      <protection/>
    </xf>
    <xf numFmtId="3" fontId="32" fillId="0" borderId="24" xfId="108" applyNumberFormat="1" applyFont="1" applyBorder="1" applyAlignment="1">
      <alignment vertical="center"/>
      <protection/>
    </xf>
    <xf numFmtId="3" fontId="23" fillId="50" borderId="83" xfId="108" applyNumberFormat="1" applyFont="1" applyFill="1" applyBorder="1" applyAlignment="1">
      <alignment horizontal="center" vertical="center" wrapText="1"/>
      <protection/>
    </xf>
    <xf numFmtId="3" fontId="23" fillId="50" borderId="84" xfId="108" applyNumberFormat="1" applyFont="1" applyFill="1" applyBorder="1" applyAlignment="1">
      <alignment horizontal="center" vertical="center" wrapText="1"/>
      <protection/>
    </xf>
    <xf numFmtId="3" fontId="38" fillId="50" borderId="84" xfId="108" applyNumberFormat="1" applyFont="1" applyFill="1" applyBorder="1" applyAlignment="1">
      <alignment horizontal="right" vertical="center" wrapText="1"/>
      <protection/>
    </xf>
    <xf numFmtId="10" fontId="38" fillId="50" borderId="84" xfId="108" applyNumberFormat="1" applyFont="1" applyFill="1" applyBorder="1" applyAlignment="1">
      <alignment horizontal="right" vertical="center" wrapText="1"/>
      <protection/>
    </xf>
    <xf numFmtId="3" fontId="23" fillId="0" borderId="0" xfId="108" applyNumberFormat="1" applyFont="1" applyAlignment="1">
      <alignment horizontal="center" vertical="center" wrapText="1"/>
      <protection/>
    </xf>
    <xf numFmtId="3" fontId="38" fillId="0" borderId="0" xfId="108" applyNumberFormat="1" applyFont="1" applyAlignment="1">
      <alignment horizontal="right" vertical="center" wrapText="1"/>
      <protection/>
    </xf>
    <xf numFmtId="0" fontId="80" fillId="0" borderId="0" xfId="108" applyFont="1" applyAlignment="1">
      <alignment vertical="center"/>
      <protection/>
    </xf>
    <xf numFmtId="0" fontId="23" fillId="50" borderId="85" xfId="108" applyFont="1" applyFill="1" applyBorder="1" applyAlignment="1">
      <alignment horizontal="center" vertical="center" wrapText="1"/>
      <protection/>
    </xf>
    <xf numFmtId="0" fontId="23" fillId="50" borderId="81" xfId="108" applyFont="1" applyFill="1" applyBorder="1" applyAlignment="1">
      <alignment horizontal="center" vertical="center" wrapText="1"/>
      <protection/>
    </xf>
    <xf numFmtId="0" fontId="75" fillId="0" borderId="35" xfId="0" applyFont="1" applyBorder="1" applyAlignment="1">
      <alignment vertical="center" wrapText="1"/>
    </xf>
    <xf numFmtId="0" fontId="75" fillId="0" borderId="42" xfId="0" applyFont="1" applyBorder="1" applyAlignment="1">
      <alignment horizontal="center" vertical="center" wrapText="1"/>
    </xf>
    <xf numFmtId="0" fontId="75" fillId="0" borderId="86" xfId="0" applyFont="1" applyBorder="1" applyAlignment="1">
      <alignment vertical="center" wrapText="1"/>
    </xf>
    <xf numFmtId="0" fontId="75" fillId="0" borderId="28" xfId="0" applyFont="1" applyBorder="1" applyAlignment="1">
      <alignment horizontal="center" vertical="center" wrapText="1"/>
    </xf>
    <xf numFmtId="3" fontId="32" fillId="0" borderId="28" xfId="108" applyNumberFormat="1" applyFont="1" applyBorder="1" applyAlignment="1">
      <alignment horizontal="right" vertical="center" wrapText="1"/>
      <protection/>
    </xf>
    <xf numFmtId="0" fontId="75" fillId="0" borderId="53" xfId="0" applyFont="1" applyBorder="1" applyAlignment="1">
      <alignment vertical="center" wrapText="1"/>
    </xf>
    <xf numFmtId="0" fontId="75" fillId="0" borderId="74" xfId="0" applyFont="1" applyBorder="1" applyAlignment="1">
      <alignment horizontal="center" vertical="center" wrapText="1"/>
    </xf>
    <xf numFmtId="3" fontId="32" fillId="0" borderId="74" xfId="108" applyNumberFormat="1" applyFont="1" applyBorder="1" applyAlignment="1">
      <alignment horizontal="right" vertical="center" wrapText="1"/>
      <protection/>
    </xf>
    <xf numFmtId="10" fontId="11" fillId="0" borderId="0" xfId="108" applyNumberFormat="1" applyAlignment="1">
      <alignment vertical="center"/>
      <protection/>
    </xf>
    <xf numFmtId="0" fontId="29" fillId="0" borderId="0" xfId="111" applyFont="1" applyAlignment="1">
      <alignment vertical="center"/>
      <protection/>
    </xf>
    <xf numFmtId="169" fontId="27" fillId="0" borderId="0" xfId="111" applyNumberFormat="1" applyFont="1" applyAlignment="1">
      <alignment horizontal="centerContinuous" vertical="center"/>
      <protection/>
    </xf>
    <xf numFmtId="0" fontId="46" fillId="0" borderId="22" xfId="111" applyFont="1" applyBorder="1" applyAlignment="1">
      <alignment horizontal="center" vertical="center" wrapText="1"/>
      <protection/>
    </xf>
    <xf numFmtId="0" fontId="46" fillId="0" borderId="30" xfId="111" applyFont="1" applyBorder="1" applyAlignment="1">
      <alignment horizontal="center" vertical="center" wrapText="1"/>
      <protection/>
    </xf>
    <xf numFmtId="0" fontId="46" fillId="0" borderId="46" xfId="111" applyFont="1" applyBorder="1" applyAlignment="1">
      <alignment horizontal="center" vertical="center" wrapText="1"/>
      <protection/>
    </xf>
    <xf numFmtId="0" fontId="30" fillId="0" borderId="44" xfId="111" applyBorder="1" applyAlignment="1">
      <alignment horizontal="center" vertical="center"/>
      <protection/>
    </xf>
    <xf numFmtId="0" fontId="30" fillId="0" borderId="27" xfId="111" applyBorder="1" applyAlignment="1">
      <alignment horizontal="center" vertical="center"/>
      <protection/>
    </xf>
    <xf numFmtId="0" fontId="30" fillId="0" borderId="45" xfId="111" applyBorder="1" applyAlignment="1">
      <alignment horizontal="center" vertical="center"/>
      <protection/>
    </xf>
    <xf numFmtId="0" fontId="30" fillId="0" borderId="22" xfId="111" applyBorder="1" applyAlignment="1">
      <alignment horizontal="center" vertical="center"/>
      <protection/>
    </xf>
    <xf numFmtId="0" fontId="30" fillId="0" borderId="42" xfId="111" applyBorder="1" applyAlignment="1">
      <alignment vertical="center"/>
      <protection/>
    </xf>
    <xf numFmtId="170" fontId="30" fillId="0" borderId="46" xfId="68" applyNumberFormat="1" applyFont="1" applyBorder="1" applyAlignment="1" applyProtection="1">
      <alignment vertical="center"/>
      <protection locked="0"/>
    </xf>
    <xf numFmtId="0" fontId="30" fillId="0" borderId="26" xfId="111" applyBorder="1" applyAlignment="1">
      <alignment horizontal="center" vertical="center"/>
      <protection/>
    </xf>
    <xf numFmtId="170" fontId="30" fillId="0" borderId="57" xfId="68" applyNumberFormat="1" applyFont="1" applyBorder="1" applyAlignment="1" applyProtection="1">
      <alignment vertical="center"/>
      <protection locked="0"/>
    </xf>
    <xf numFmtId="0" fontId="30" fillId="0" borderId="19" xfId="111" applyBorder="1" applyAlignment="1">
      <alignment horizontal="center" vertical="center"/>
      <protection/>
    </xf>
    <xf numFmtId="0" fontId="76" fillId="0" borderId="24" xfId="0" applyFont="1" applyBorder="1" applyAlignment="1">
      <alignment horizontal="justify" vertical="center" wrapText="1"/>
    </xf>
    <xf numFmtId="170" fontId="30" fillId="0" borderId="25" xfId="68" applyNumberFormat="1" applyFont="1" applyBorder="1" applyAlignment="1" applyProtection="1">
      <alignment vertical="center"/>
      <protection locked="0"/>
    </xf>
    <xf numFmtId="0" fontId="76" fillId="0" borderId="24" xfId="0" applyFont="1" applyBorder="1" applyAlignment="1">
      <alignment vertical="center" wrapText="1"/>
    </xf>
    <xf numFmtId="170" fontId="30" fillId="0" borderId="58" xfId="68" applyNumberFormat="1" applyFont="1" applyBorder="1" applyAlignment="1" applyProtection="1">
      <alignment vertical="center"/>
      <protection locked="0"/>
    </xf>
    <xf numFmtId="170" fontId="46" fillId="0" borderId="45" xfId="68" applyNumberFormat="1" applyFont="1" applyBorder="1" applyAlignment="1">
      <alignment vertical="center"/>
    </xf>
    <xf numFmtId="0" fontId="45" fillId="0" borderId="0" xfId="111" applyFont="1" applyAlignment="1">
      <alignment horizontal="justify" vertical="center" wrapText="1"/>
      <protection/>
    </xf>
    <xf numFmtId="169" fontId="9" fillId="0" borderId="0" xfId="0" applyNumberFormat="1" applyFont="1" applyAlignment="1">
      <alignment horizontal="left" vertical="center" wrapText="1"/>
    </xf>
    <xf numFmtId="10" fontId="45" fillId="0" borderId="25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6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7" xfId="0" applyNumberFormat="1" applyFont="1" applyBorder="1" applyAlignment="1" applyProtection="1">
      <alignment horizontal="right" vertical="center" wrapText="1" indent="1"/>
      <protection locked="0"/>
    </xf>
    <xf numFmtId="10" fontId="53" fillId="0" borderId="45" xfId="0" applyNumberFormat="1" applyFont="1" applyBorder="1" applyAlignment="1" applyProtection="1">
      <alignment horizontal="right" vertical="center" wrapText="1" indent="1"/>
      <protection locked="0"/>
    </xf>
    <xf numFmtId="10" fontId="45" fillId="0" borderId="21" xfId="0" applyNumberFormat="1" applyFont="1" applyBorder="1" applyAlignment="1" applyProtection="1">
      <alignment horizontal="right" vertical="center" wrapText="1" indent="1"/>
      <protection locked="0"/>
    </xf>
    <xf numFmtId="3" fontId="3" fillId="49" borderId="45" xfId="0" applyNumberFormat="1" applyFont="1" applyFill="1" applyBorder="1" applyAlignment="1">
      <alignment horizontal="right" vertical="center" wrapText="1"/>
    </xf>
    <xf numFmtId="10" fontId="3" fillId="0" borderId="54" xfId="0" applyNumberFormat="1" applyFont="1" applyBorder="1" applyAlignment="1">
      <alignment horizontal="centerContinuous" vertical="center" wrapText="1"/>
    </xf>
    <xf numFmtId="0" fontId="4" fillId="0" borderId="64" xfId="0" applyFont="1" applyBorder="1" applyAlignment="1">
      <alignment vertical="center"/>
    </xf>
    <xf numFmtId="169" fontId="45" fillId="0" borderId="87" xfId="0" applyNumberFormat="1" applyFont="1" applyBorder="1" applyAlignment="1" applyProtection="1">
      <alignment horizontal="right" vertical="center" wrapText="1" indent="1"/>
      <protection locked="0"/>
    </xf>
    <xf numFmtId="10" fontId="45" fillId="0" borderId="25" xfId="0" applyNumberFormat="1" applyFont="1" applyBorder="1" applyAlignment="1" applyProtection="1">
      <alignment horizontal="right" vertical="center" wrapText="1" indent="1"/>
      <protection locked="0"/>
    </xf>
    <xf numFmtId="169" fontId="49" fillId="0" borderId="88" xfId="0" applyNumberFormat="1" applyFont="1" applyBorder="1" applyAlignment="1">
      <alignment horizontal="center" vertical="center" wrapText="1"/>
    </xf>
    <xf numFmtId="169" fontId="45" fillId="0" borderId="89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90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91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92" xfId="0" applyNumberFormat="1" applyFont="1" applyBorder="1" applyAlignment="1" applyProtection="1">
      <alignment horizontal="right" vertical="center" wrapText="1" indent="1"/>
      <protection locked="0"/>
    </xf>
    <xf numFmtId="0" fontId="0" fillId="0" borderId="93" xfId="0" applyFont="1" applyBorder="1" applyAlignment="1">
      <alignment horizontal="right" vertical="center" wrapText="1" indent="1"/>
    </xf>
    <xf numFmtId="169" fontId="49" fillId="0" borderId="75" xfId="0" applyNumberFormat="1" applyFont="1" applyBorder="1" applyAlignment="1">
      <alignment horizontal="center" vertical="center" wrapText="1"/>
    </xf>
    <xf numFmtId="3" fontId="15" fillId="0" borderId="30" xfId="0" applyNumberFormat="1" applyFont="1" applyBorder="1" applyAlignment="1">
      <alignment horizontal="right" vertical="center"/>
    </xf>
    <xf numFmtId="0" fontId="0" fillId="0" borderId="70" xfId="108" applyFont="1" applyBorder="1" applyAlignment="1">
      <alignment horizontal="center" vertical="center"/>
      <protection/>
    </xf>
    <xf numFmtId="3" fontId="7" fillId="0" borderId="22" xfId="108" applyNumberFormat="1" applyFont="1" applyBorder="1" applyAlignment="1">
      <alignment horizontal="right" vertical="center"/>
      <protection/>
    </xf>
    <xf numFmtId="3" fontId="7" fillId="0" borderId="19" xfId="108" applyNumberFormat="1" applyFont="1" applyBorder="1" applyAlignment="1">
      <alignment horizontal="right" vertical="center"/>
      <protection/>
    </xf>
    <xf numFmtId="10" fontId="41" fillId="0" borderId="62" xfId="108" applyNumberFormat="1" applyFont="1" applyBorder="1" applyAlignment="1">
      <alignment horizontal="right"/>
      <protection/>
    </xf>
    <xf numFmtId="3" fontId="18" fillId="0" borderId="92" xfId="108" applyNumberFormat="1" applyFont="1" applyBorder="1" applyAlignment="1">
      <alignment horizontal="right"/>
      <protection/>
    </xf>
    <xf numFmtId="3" fontId="18" fillId="0" borderId="94" xfId="108" applyNumberFormat="1" applyFont="1" applyBorder="1" applyAlignment="1">
      <alignment horizontal="right"/>
      <protection/>
    </xf>
    <xf numFmtId="10" fontId="18" fillId="0" borderId="21" xfId="108" applyNumberFormat="1" applyFont="1" applyBorder="1" applyAlignment="1">
      <alignment horizontal="right"/>
      <protection/>
    </xf>
    <xf numFmtId="3" fontId="1" fillId="0" borderId="28" xfId="105" applyNumberFormat="1" applyBorder="1">
      <alignment/>
      <protection/>
    </xf>
    <xf numFmtId="0" fontId="29" fillId="0" borderId="0" xfId="111" applyFont="1">
      <alignment/>
      <protection/>
    </xf>
    <xf numFmtId="0" fontId="29" fillId="0" borderId="0" xfId="111" applyFont="1" applyAlignment="1">
      <alignment vertical="center" wrapText="1"/>
      <protection/>
    </xf>
    <xf numFmtId="169" fontId="83" fillId="0" borderId="0" xfId="111" applyNumberFormat="1" applyFont="1" applyAlignment="1">
      <alignment vertical="center" wrapText="1"/>
      <protection/>
    </xf>
    <xf numFmtId="169" fontId="27" fillId="0" borderId="0" xfId="111" applyNumberFormat="1" applyFont="1" applyAlignment="1">
      <alignment horizontal="centerContinuous" vertical="center" wrapText="1"/>
      <protection/>
    </xf>
    <xf numFmtId="0" fontId="42" fillId="0" borderId="0" xfId="0" applyFont="1" applyAlignment="1">
      <alignment/>
    </xf>
    <xf numFmtId="0" fontId="46" fillId="0" borderId="0" xfId="111" applyFont="1" applyAlignment="1">
      <alignment vertical="center" wrapText="1"/>
      <protection/>
    </xf>
    <xf numFmtId="0" fontId="46" fillId="0" borderId="28" xfId="111" applyFont="1" applyBorder="1" applyAlignment="1">
      <alignment horizontal="center" vertical="center" wrapText="1"/>
      <protection/>
    </xf>
    <xf numFmtId="0" fontId="30" fillId="0" borderId="27" xfId="111" applyBorder="1" applyAlignment="1">
      <alignment horizontal="center" vertical="center" wrapText="1"/>
      <protection/>
    </xf>
    <xf numFmtId="170" fontId="30" fillId="0" borderId="46" xfId="68" applyNumberFormat="1" applyFont="1" applyBorder="1" applyAlignment="1" applyProtection="1">
      <alignment horizontal="right" vertical="center"/>
      <protection locked="0"/>
    </xf>
    <xf numFmtId="170" fontId="30" fillId="0" borderId="24" xfId="68" applyNumberFormat="1" applyFont="1" applyBorder="1" applyAlignment="1" applyProtection="1">
      <alignment horizontal="right" vertical="center"/>
      <protection locked="0"/>
    </xf>
    <xf numFmtId="170" fontId="30" fillId="0" borderId="25" xfId="68" applyNumberFormat="1" applyFont="1" applyBorder="1" applyAlignment="1" applyProtection="1">
      <alignment horizontal="right" vertical="center"/>
      <protection locked="0"/>
    </xf>
    <xf numFmtId="0" fontId="30" fillId="0" borderId="29" xfId="111" applyBorder="1" applyAlignment="1">
      <alignment horizontal="center" vertical="center"/>
      <protection/>
    </xf>
    <xf numFmtId="0" fontId="30" fillId="0" borderId="28" xfId="111" applyBorder="1" applyAlignment="1" applyProtection="1">
      <alignment vertical="center" wrapText="1"/>
      <protection locked="0"/>
    </xf>
    <xf numFmtId="170" fontId="30" fillId="0" borderId="28" xfId="68" applyNumberFormat="1" applyFont="1" applyBorder="1" applyAlignment="1" applyProtection="1">
      <alignment horizontal="right" vertical="center"/>
      <protection locked="0"/>
    </xf>
    <xf numFmtId="170" fontId="30" fillId="0" borderId="58" xfId="68" applyNumberFormat="1" applyFont="1" applyBorder="1" applyAlignment="1" applyProtection="1">
      <alignment horizontal="right" vertical="center"/>
      <protection locked="0"/>
    </xf>
    <xf numFmtId="0" fontId="46" fillId="0" borderId="27" xfId="111" applyFont="1" applyBorder="1" applyAlignment="1">
      <alignment vertical="center" wrapText="1"/>
      <protection/>
    </xf>
    <xf numFmtId="170" fontId="30" fillId="0" borderId="27" xfId="111" applyNumberFormat="1" applyBorder="1" applyAlignment="1">
      <alignment horizontal="right" vertical="center"/>
      <protection/>
    </xf>
    <xf numFmtId="170" fontId="30" fillId="0" borderId="45" xfId="111" applyNumberFormat="1" applyBorder="1" applyAlignment="1">
      <alignment horizontal="right" vertical="center"/>
      <protection/>
    </xf>
    <xf numFmtId="0" fontId="30" fillId="0" borderId="0" xfId="111" applyAlignment="1" applyProtection="1">
      <alignment vertical="center" wrapText="1"/>
      <protection locked="0"/>
    </xf>
    <xf numFmtId="3" fontId="1" fillId="0" borderId="0" xfId="105" applyNumberFormat="1" applyAlignment="1">
      <alignment vertical="center"/>
      <protection/>
    </xf>
    <xf numFmtId="3" fontId="29" fillId="0" borderId="0" xfId="111" applyNumberFormat="1" applyFont="1">
      <alignment/>
      <protection/>
    </xf>
    <xf numFmtId="170" fontId="29" fillId="0" borderId="0" xfId="111" applyNumberFormat="1" applyFont="1">
      <alignment/>
      <protection/>
    </xf>
    <xf numFmtId="0" fontId="12" fillId="1" borderId="25" xfId="108" applyFont="1" applyFill="1" applyBorder="1" applyAlignment="1">
      <alignment horizontal="center" vertical="center"/>
      <protection/>
    </xf>
    <xf numFmtId="0" fontId="12" fillId="1" borderId="19" xfId="108" applyFont="1" applyFill="1" applyBorder="1" applyAlignment="1">
      <alignment horizontal="center" vertical="center"/>
      <protection/>
    </xf>
    <xf numFmtId="3" fontId="66" fillId="0" borderId="50" xfId="105" applyNumberFormat="1" applyFont="1" applyBorder="1" applyAlignment="1">
      <alignment horizontal="right"/>
      <protection/>
    </xf>
    <xf numFmtId="0" fontId="66" fillId="0" borderId="60" xfId="105" applyFont="1" applyBorder="1">
      <alignment/>
      <protection/>
    </xf>
    <xf numFmtId="3" fontId="66" fillId="0" borderId="50" xfId="105" applyNumberFormat="1" applyFont="1" applyBorder="1">
      <alignment/>
      <protection/>
    </xf>
    <xf numFmtId="0" fontId="12" fillId="1" borderId="77" xfId="108" applyFont="1" applyFill="1" applyBorder="1" applyAlignment="1">
      <alignment horizontal="center" vertical="center" wrapText="1"/>
      <protection/>
    </xf>
    <xf numFmtId="0" fontId="12" fillId="1" borderId="77" xfId="108" applyFont="1" applyFill="1" applyBorder="1" applyAlignment="1">
      <alignment horizontal="center" vertical="center"/>
      <protection/>
    </xf>
    <xf numFmtId="3" fontId="11" fillId="0" borderId="53" xfId="108" applyNumberFormat="1" applyBorder="1">
      <alignment/>
      <protection/>
    </xf>
    <xf numFmtId="169" fontId="49" fillId="0" borderId="95" xfId="0" applyNumberFormat="1" applyFont="1" applyBorder="1" applyAlignment="1">
      <alignment horizontal="center" vertical="center" wrapText="1"/>
    </xf>
    <xf numFmtId="169" fontId="49" fillId="0" borderId="69" xfId="0" applyNumberFormat="1" applyFont="1" applyBorder="1" applyAlignment="1">
      <alignment horizontal="center" vertical="center" wrapText="1"/>
    </xf>
    <xf numFmtId="10" fontId="32" fillId="0" borderId="95" xfId="108" applyNumberFormat="1" applyFont="1" applyBorder="1" applyAlignment="1">
      <alignment horizontal="right" vertical="center" wrapText="1"/>
      <protection/>
    </xf>
    <xf numFmtId="3" fontId="3" fillId="0" borderId="4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Continuous" vertical="center" wrapText="1"/>
    </xf>
    <xf numFmtId="3" fontId="32" fillId="0" borderId="62" xfId="108" applyNumberFormat="1" applyFont="1" applyBorder="1" applyAlignment="1">
      <alignment vertical="center"/>
      <protection/>
    </xf>
    <xf numFmtId="3" fontId="32" fillId="0" borderId="63" xfId="108" applyNumberFormat="1" applyFont="1" applyBorder="1" applyAlignment="1">
      <alignment horizontal="right" vertical="center" wrapText="1"/>
      <protection/>
    </xf>
    <xf numFmtId="3" fontId="32" fillId="0" borderId="95" xfId="108" applyNumberFormat="1" applyFont="1" applyBorder="1" applyAlignment="1">
      <alignment horizontal="right" vertical="center" wrapText="1"/>
      <protection/>
    </xf>
    <xf numFmtId="3" fontId="18" fillId="0" borderId="72" xfId="108" applyNumberFormat="1" applyFont="1" applyBorder="1" applyAlignment="1">
      <alignment horizontal="right"/>
      <protection/>
    </xf>
    <xf numFmtId="0" fontId="3" fillId="0" borderId="59" xfId="0" applyFont="1" applyBorder="1" applyAlignment="1">
      <alignment horizontal="centerContinuous" vertical="center" wrapText="1"/>
    </xf>
    <xf numFmtId="0" fontId="75" fillId="0" borderId="96" xfId="0" applyFont="1" applyBorder="1" applyAlignment="1">
      <alignment horizontal="center" vertical="center" wrapText="1"/>
    </xf>
    <xf numFmtId="3" fontId="32" fillId="0" borderId="96" xfId="108" applyNumberFormat="1" applyFont="1" applyBorder="1" applyAlignment="1">
      <alignment vertical="center"/>
      <protection/>
    </xf>
    <xf numFmtId="10" fontId="32" fillId="0" borderId="96" xfId="108" applyNumberFormat="1" applyFont="1" applyBorder="1" applyAlignment="1">
      <alignment horizontal="right" vertical="center" wrapText="1"/>
      <protection/>
    </xf>
    <xf numFmtId="169" fontId="42" fillId="0" borderId="52" xfId="111" applyNumberFormat="1" applyFont="1" applyBorder="1" applyAlignment="1">
      <alignment vertical="center"/>
      <protection/>
    </xf>
    <xf numFmtId="3" fontId="11" fillId="0" borderId="53" xfId="108" applyNumberFormat="1" applyBorder="1" applyAlignment="1">
      <alignment vertical="center"/>
      <protection/>
    </xf>
    <xf numFmtId="0" fontId="66" fillId="0" borderId="23" xfId="105" applyFont="1" applyBorder="1">
      <alignment/>
      <protection/>
    </xf>
    <xf numFmtId="0" fontId="1" fillId="0" borderId="37" xfId="105" applyBorder="1">
      <alignment/>
      <protection/>
    </xf>
    <xf numFmtId="0" fontId="1" fillId="0" borderId="37" xfId="105" applyBorder="1" applyAlignment="1">
      <alignment wrapText="1"/>
      <protection/>
    </xf>
    <xf numFmtId="3" fontId="1" fillId="0" borderId="0" xfId="105" applyNumberFormat="1">
      <alignment/>
      <protection/>
    </xf>
    <xf numFmtId="0" fontId="0" fillId="0" borderId="42" xfId="108" applyFont="1" applyBorder="1" applyAlignment="1">
      <alignment horizontal="left" vertical="center" wrapText="1"/>
      <protection/>
    </xf>
    <xf numFmtId="0" fontId="0" fillId="0" borderId="36" xfId="108" applyFont="1" applyBorder="1" applyAlignment="1">
      <alignment horizontal="center" vertical="center"/>
      <protection/>
    </xf>
    <xf numFmtId="3" fontId="7" fillId="0" borderId="26" xfId="108" applyNumberFormat="1" applyFont="1" applyBorder="1" applyAlignment="1">
      <alignment horizontal="right" vertical="center"/>
      <protection/>
    </xf>
    <xf numFmtId="169" fontId="53" fillId="0" borderId="30" xfId="0" applyNumberFormat="1" applyFont="1" applyBorder="1" applyAlignment="1">
      <alignment horizontal="right" vertical="center" wrapText="1" indent="1"/>
    </xf>
    <xf numFmtId="10" fontId="53" fillId="0" borderId="46" xfId="0" applyNumberFormat="1" applyFont="1" applyBorder="1" applyAlignment="1">
      <alignment horizontal="right" vertical="center" wrapText="1" indent="1"/>
    </xf>
    <xf numFmtId="169" fontId="53" fillId="0" borderId="46" xfId="0" applyNumberFormat="1" applyFont="1" applyBorder="1" applyAlignment="1">
      <alignment horizontal="right" vertical="center" wrapText="1" indent="1"/>
    </xf>
    <xf numFmtId="169" fontId="53" fillId="0" borderId="22" xfId="0" applyNumberFormat="1" applyFont="1" applyBorder="1" applyAlignment="1">
      <alignment horizontal="right" vertical="center" wrapText="1" indent="1"/>
    </xf>
    <xf numFmtId="169" fontId="53" fillId="0" borderId="24" xfId="0" applyNumberFormat="1" applyFont="1" applyBorder="1" applyAlignment="1">
      <alignment horizontal="right" vertical="center" wrapText="1" indent="1"/>
    </xf>
    <xf numFmtId="10" fontId="53" fillId="0" borderId="25" xfId="0" applyNumberFormat="1" applyFont="1" applyBorder="1" applyAlignment="1">
      <alignment horizontal="right" vertical="center" wrapText="1" indent="1"/>
    </xf>
    <xf numFmtId="169" fontId="53" fillId="0" borderId="25" xfId="0" applyNumberFormat="1" applyFont="1" applyBorder="1" applyAlignment="1">
      <alignment horizontal="right" vertical="center" wrapText="1" indent="1"/>
    </xf>
    <xf numFmtId="169" fontId="53" fillId="0" borderId="19" xfId="0" applyNumberFormat="1" applyFont="1" applyBorder="1" applyAlignment="1">
      <alignment horizontal="right" vertical="center" wrapText="1" indent="1"/>
    </xf>
    <xf numFmtId="0" fontId="45" fillId="0" borderId="28" xfId="0" applyFont="1" applyBorder="1" applyAlignment="1">
      <alignment horizontal="left" vertical="center" wrapText="1" indent="1"/>
    </xf>
    <xf numFmtId="169" fontId="53" fillId="0" borderId="28" xfId="0" applyNumberFormat="1" applyFont="1" applyBorder="1" applyAlignment="1">
      <alignment horizontal="right" vertical="center" wrapText="1" indent="1"/>
    </xf>
    <xf numFmtId="10" fontId="53" fillId="0" borderId="58" xfId="0" applyNumberFormat="1" applyFont="1" applyBorder="1" applyAlignment="1">
      <alignment horizontal="right" vertical="center" wrapText="1" indent="1"/>
    </xf>
    <xf numFmtId="169" fontId="53" fillId="0" borderId="58" xfId="0" applyNumberFormat="1" applyFont="1" applyBorder="1" applyAlignment="1">
      <alignment horizontal="right" vertical="center" wrapText="1" indent="1"/>
    </xf>
    <xf numFmtId="169" fontId="53" fillId="0" borderId="29" xfId="0" applyNumberFormat="1" applyFont="1" applyBorder="1" applyAlignment="1">
      <alignment horizontal="right" vertical="center" wrapText="1" indent="1"/>
    </xf>
    <xf numFmtId="169" fontId="53" fillId="0" borderId="90" xfId="0" applyNumberFormat="1" applyFont="1" applyBorder="1" applyAlignment="1">
      <alignment horizontal="right" vertical="center" wrapText="1" indent="1"/>
    </xf>
    <xf numFmtId="169" fontId="53" fillId="0" borderId="89" xfId="0" applyNumberFormat="1" applyFont="1" applyBorder="1" applyAlignment="1">
      <alignment horizontal="right" vertical="center" wrapText="1" indent="1"/>
    </xf>
    <xf numFmtId="0" fontId="53" fillId="0" borderId="72" xfId="0" applyFont="1" applyBorder="1" applyAlignment="1">
      <alignment horizontal="left" vertical="center" wrapText="1" indent="1"/>
    </xf>
    <xf numFmtId="169" fontId="53" fillId="0" borderId="23" xfId="0" applyNumberFormat="1" applyFont="1" applyBorder="1" applyAlignment="1">
      <alignment horizontal="right" vertical="center" wrapText="1" indent="1"/>
    </xf>
    <xf numFmtId="10" fontId="53" fillId="0" borderId="21" xfId="0" applyNumberFormat="1" applyFont="1" applyBorder="1" applyAlignment="1">
      <alignment horizontal="right" vertical="center" wrapText="1" indent="1"/>
    </xf>
    <xf numFmtId="169" fontId="53" fillId="0" borderId="20" xfId="0" applyNumberFormat="1" applyFont="1" applyBorder="1" applyAlignment="1">
      <alignment horizontal="right" vertical="center" wrapText="1" indent="1"/>
    </xf>
    <xf numFmtId="169" fontId="53" fillId="0" borderId="21" xfId="0" applyNumberFormat="1" applyFont="1" applyBorder="1" applyAlignment="1">
      <alignment horizontal="right" vertical="center" wrapText="1" indent="1"/>
    </xf>
    <xf numFmtId="169" fontId="53" fillId="0" borderId="97" xfId="0" applyNumberFormat="1" applyFont="1" applyBorder="1" applyAlignment="1">
      <alignment horizontal="right" vertical="center" wrapText="1" indent="1"/>
    </xf>
    <xf numFmtId="0" fontId="45" fillId="0" borderId="70" xfId="0" applyFont="1" applyBorder="1" applyAlignment="1">
      <alignment horizontal="left" vertical="center" wrapText="1" indent="1"/>
    </xf>
    <xf numFmtId="0" fontId="45" fillId="0" borderId="62" xfId="0" applyFont="1" applyBorder="1" applyAlignment="1">
      <alignment horizontal="left" vertical="center" wrapText="1" indent="1"/>
    </xf>
    <xf numFmtId="0" fontId="45" fillId="0" borderId="63" xfId="0" applyFont="1" applyBorder="1" applyAlignment="1">
      <alignment horizontal="left" vertical="center" wrapText="1" indent="1"/>
    </xf>
    <xf numFmtId="169" fontId="45" fillId="0" borderId="22" xfId="0" applyNumberFormat="1" applyFont="1" applyBorder="1" applyAlignment="1">
      <alignment horizontal="right" vertical="center" wrapText="1" indent="1"/>
    </xf>
    <xf numFmtId="169" fontId="45" fillId="0" borderId="19" xfId="0" applyNumberFormat="1" applyFont="1" applyBorder="1" applyAlignment="1">
      <alignment horizontal="right" vertical="center" wrapText="1" indent="1"/>
    </xf>
    <xf numFmtId="169" fontId="45" fillId="0" borderId="29" xfId="0" applyNumberFormat="1" applyFont="1" applyBorder="1" applyAlignment="1">
      <alignment horizontal="right" vertical="center" wrapText="1" indent="1"/>
    </xf>
    <xf numFmtId="0" fontId="53" fillId="0" borderId="23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14" fillId="0" borderId="0" xfId="108" applyFont="1" applyAlignment="1">
      <alignment horizontal="center"/>
      <protection/>
    </xf>
    <xf numFmtId="3" fontId="0" fillId="0" borderId="66" xfId="0" applyNumberFormat="1" applyFont="1" applyBorder="1" applyAlignment="1">
      <alignment/>
    </xf>
    <xf numFmtId="0" fontId="18" fillId="0" borderId="0" xfId="108" applyFont="1" applyAlignment="1">
      <alignment wrapText="1"/>
      <protection/>
    </xf>
    <xf numFmtId="0" fontId="3" fillId="0" borderId="39" xfId="0" applyFont="1" applyBorder="1" applyAlignment="1">
      <alignment horizontal="centerContinuous" vertical="center" wrapText="1"/>
    </xf>
    <xf numFmtId="10" fontId="3" fillId="0" borderId="45" xfId="0" applyNumberFormat="1" applyFont="1" applyBorder="1" applyAlignment="1">
      <alignment horizontal="centerContinuous" vertical="center" wrapText="1"/>
    </xf>
    <xf numFmtId="0" fontId="75" fillId="0" borderId="37" xfId="0" applyFont="1" applyBorder="1" applyAlignment="1">
      <alignment vertical="center" wrapText="1"/>
    </xf>
    <xf numFmtId="3" fontId="32" fillId="0" borderId="28" xfId="108" applyNumberFormat="1" applyFont="1" applyBorder="1" applyAlignment="1">
      <alignment vertical="center"/>
      <protection/>
    </xf>
    <xf numFmtId="10" fontId="32" fillId="0" borderId="28" xfId="108" applyNumberFormat="1" applyFont="1" applyBorder="1" applyAlignment="1">
      <alignment horizontal="right" vertical="center" wrapText="1"/>
      <protection/>
    </xf>
    <xf numFmtId="3" fontId="14" fillId="0" borderId="0" xfId="108" applyNumberFormat="1" applyFont="1" applyAlignment="1">
      <alignment horizontal="center"/>
      <protection/>
    </xf>
    <xf numFmtId="3" fontId="41" fillId="51" borderId="63" xfId="108" applyNumberFormat="1" applyFont="1" applyFill="1" applyBorder="1" applyAlignment="1">
      <alignment horizontal="right"/>
      <protection/>
    </xf>
    <xf numFmtId="3" fontId="41" fillId="51" borderId="28" xfId="108" applyNumberFormat="1" applyFont="1" applyFill="1" applyBorder="1" applyAlignment="1">
      <alignment horizontal="right"/>
      <protection/>
    </xf>
    <xf numFmtId="3" fontId="15" fillId="0" borderId="0" xfId="108" applyNumberFormat="1" applyFont="1">
      <alignment/>
      <protection/>
    </xf>
    <xf numFmtId="3" fontId="149" fillId="0" borderId="0" xfId="0" applyNumberFormat="1" applyFont="1" applyAlignment="1">
      <alignment/>
    </xf>
    <xf numFmtId="0" fontId="150" fillId="0" borderId="0" xfId="0" applyFont="1" applyAlignment="1">
      <alignment/>
    </xf>
    <xf numFmtId="3" fontId="7" fillId="0" borderId="42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Border="1" applyAlignment="1" applyProtection="1">
      <alignment horizontal="right" vertical="center"/>
      <protection locked="0"/>
    </xf>
    <xf numFmtId="3" fontId="7" fillId="0" borderId="24" xfId="0" applyNumberFormat="1" applyFont="1" applyBorder="1" applyAlignment="1" applyProtection="1">
      <alignment horizontal="right" vertical="center"/>
      <protection locked="0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3" fontId="7" fillId="0" borderId="22" xfId="0" applyNumberFormat="1" applyFont="1" applyBorder="1" applyAlignment="1" applyProtection="1">
      <alignment horizontal="right"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3" fontId="7" fillId="0" borderId="19" xfId="0" applyNumberFormat="1" applyFont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3" fontId="7" fillId="0" borderId="28" xfId="0" applyNumberFormat="1" applyFont="1" applyBorder="1" applyAlignment="1" applyProtection="1">
      <alignment vertical="center"/>
      <protection locked="0"/>
    </xf>
    <xf numFmtId="0" fontId="151" fillId="0" borderId="0" xfId="108" applyFont="1">
      <alignment/>
      <protection/>
    </xf>
    <xf numFmtId="3" fontId="11" fillId="0" borderId="35" xfId="108" applyNumberFormat="1" applyBorder="1" applyAlignment="1">
      <alignment vertical="center"/>
      <protection/>
    </xf>
    <xf numFmtId="169" fontId="45" fillId="0" borderId="97" xfId="0" applyNumberFormat="1" applyFont="1" applyBorder="1" applyAlignment="1">
      <alignment horizontal="right" vertical="center" wrapText="1" indent="1"/>
    </xf>
    <xf numFmtId="169" fontId="45" fillId="0" borderId="23" xfId="0" applyNumberFormat="1" applyFont="1" applyBorder="1" applyAlignment="1">
      <alignment horizontal="right" vertical="center" wrapText="1" indent="1"/>
    </xf>
    <xf numFmtId="169" fontId="45" fillId="0" borderId="92" xfId="0" applyNumberFormat="1" applyFont="1" applyBorder="1" applyAlignment="1">
      <alignment horizontal="right" vertical="center" wrapText="1" indent="1"/>
    </xf>
    <xf numFmtId="3" fontId="4" fillId="0" borderId="0" xfId="0" applyNumberFormat="1" applyFont="1" applyAlignment="1">
      <alignment vertical="center"/>
    </xf>
    <xf numFmtId="3" fontId="3" fillId="0" borderId="44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 applyProtection="1">
      <alignment horizontal="right" vertical="center" wrapText="1"/>
      <protection locked="0"/>
    </xf>
    <xf numFmtId="3" fontId="7" fillId="0" borderId="24" xfId="0" applyNumberFormat="1" applyFont="1" applyBorder="1" applyAlignment="1" applyProtection="1">
      <alignment horizontal="right" vertical="center" wrapText="1"/>
      <protection locked="0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3" fontId="7" fillId="0" borderId="26" xfId="0" applyNumberFormat="1" applyFont="1" applyBorder="1" applyAlignment="1" applyProtection="1">
      <alignment horizontal="right" vertical="center" wrapText="1"/>
      <protection locked="0"/>
    </xf>
    <xf numFmtId="0" fontId="0" fillId="0" borderId="35" xfId="0" applyFont="1" applyBorder="1" applyAlignment="1">
      <alignment/>
    </xf>
    <xf numFmtId="0" fontId="0" fillId="0" borderId="0" xfId="0" applyFont="1" applyAlignment="1">
      <alignment/>
    </xf>
    <xf numFmtId="0" fontId="150" fillId="0" borderId="0" xfId="0" applyFont="1" applyAlignment="1">
      <alignment/>
    </xf>
    <xf numFmtId="3" fontId="149" fillId="0" borderId="0" xfId="0" applyNumberFormat="1" applyFont="1" applyAlignment="1">
      <alignment/>
    </xf>
    <xf numFmtId="0" fontId="66" fillId="0" borderId="37" xfId="105" applyFont="1" applyBorder="1" applyAlignment="1">
      <alignment wrapText="1"/>
      <protection/>
    </xf>
    <xf numFmtId="10" fontId="41" fillId="0" borderId="63" xfId="108" applyNumberFormat="1" applyFont="1" applyBorder="1" applyAlignment="1">
      <alignment horizontal="right"/>
      <protection/>
    </xf>
    <xf numFmtId="0" fontId="53" fillId="0" borderId="54" xfId="0" applyFont="1" applyBorder="1" applyAlignment="1">
      <alignment horizontal="center" vertical="center" wrapText="1"/>
    </xf>
    <xf numFmtId="0" fontId="9" fillId="0" borderId="0" xfId="97" applyFont="1" applyAlignment="1">
      <alignment horizontal="right"/>
      <protection/>
    </xf>
    <xf numFmtId="0" fontId="6" fillId="0" borderId="44" xfId="97" applyFont="1" applyBorder="1" applyAlignment="1">
      <alignment horizontal="center" vertical="center" wrapText="1"/>
      <protection/>
    </xf>
    <xf numFmtId="0" fontId="6" fillId="0" borderId="0" xfId="97" applyFont="1" applyAlignment="1">
      <alignment horizontal="center"/>
      <protection/>
    </xf>
    <xf numFmtId="0" fontId="0" fillId="0" borderId="0" xfId="97" applyAlignment="1">
      <alignment wrapText="1"/>
      <protection/>
    </xf>
    <xf numFmtId="0" fontId="6" fillId="0" borderId="51" xfId="97" applyFont="1" applyBorder="1">
      <alignment/>
      <protection/>
    </xf>
    <xf numFmtId="0" fontId="6" fillId="0" borderId="24" xfId="97" applyFont="1" applyBorder="1">
      <alignment/>
      <protection/>
    </xf>
    <xf numFmtId="3" fontId="6" fillId="0" borderId="24" xfId="97" applyNumberFormat="1" applyFont="1" applyBorder="1" applyAlignment="1">
      <alignment wrapText="1"/>
      <protection/>
    </xf>
    <xf numFmtId="3" fontId="6" fillId="0" borderId="24" xfId="97" applyNumberFormat="1" applyFont="1" applyBorder="1">
      <alignment/>
      <protection/>
    </xf>
    <xf numFmtId="0" fontId="6" fillId="0" borderId="26" xfId="97" applyFont="1" applyBorder="1" applyAlignment="1">
      <alignment horizontal="center" vertical="center"/>
      <protection/>
    </xf>
    <xf numFmtId="0" fontId="0" fillId="0" borderId="42" xfId="97" applyBorder="1" applyAlignment="1">
      <alignment wrapText="1"/>
      <protection/>
    </xf>
    <xf numFmtId="0" fontId="0" fillId="0" borderId="42" xfId="97" applyBorder="1">
      <alignment/>
      <protection/>
    </xf>
    <xf numFmtId="0" fontId="0" fillId="0" borderId="28" xfId="97" applyBorder="1">
      <alignment/>
      <protection/>
    </xf>
    <xf numFmtId="0" fontId="0" fillId="0" borderId="0" xfId="97" applyAlignment="1">
      <alignment horizontal="left" vertical="center" wrapText="1"/>
      <protection/>
    </xf>
    <xf numFmtId="0" fontId="6" fillId="0" borderId="22" xfId="97" applyFont="1" applyBorder="1" applyAlignment="1">
      <alignment horizontal="center" vertical="center"/>
      <protection/>
    </xf>
    <xf numFmtId="0" fontId="0" fillId="0" borderId="30" xfId="97" applyBorder="1" applyAlignment="1">
      <alignment horizontal="left" vertical="center" wrapText="1"/>
      <protection/>
    </xf>
    <xf numFmtId="0" fontId="0" fillId="0" borderId="30" xfId="97" applyBorder="1" applyAlignment="1">
      <alignment horizontal="left" vertical="center"/>
      <protection/>
    </xf>
    <xf numFmtId="0" fontId="6" fillId="0" borderId="22" xfId="97" applyFont="1" applyBorder="1" applyAlignment="1">
      <alignment horizontal="center" vertical="center" wrapText="1"/>
      <protection/>
    </xf>
    <xf numFmtId="0" fontId="0" fillId="0" borderId="30" xfId="97" applyBorder="1" applyAlignment="1">
      <alignment vertical="center" wrapText="1"/>
      <protection/>
    </xf>
    <xf numFmtId="3" fontId="0" fillId="0" borderId="30" xfId="97" applyNumberFormat="1" applyBorder="1" applyAlignment="1">
      <alignment vertical="center" wrapText="1"/>
      <protection/>
    </xf>
    <xf numFmtId="0" fontId="0" fillId="0" borderId="30" xfId="97" applyBorder="1" applyAlignment="1">
      <alignment vertical="center"/>
      <protection/>
    </xf>
    <xf numFmtId="0" fontId="0" fillId="0" borderId="74" xfId="97" applyBorder="1" applyAlignment="1">
      <alignment vertical="center" wrapText="1"/>
      <protection/>
    </xf>
    <xf numFmtId="3" fontId="0" fillId="0" borderId="74" xfId="97" applyNumberFormat="1" applyBorder="1" applyAlignment="1">
      <alignment vertical="center" wrapText="1"/>
      <protection/>
    </xf>
    <xf numFmtId="0" fontId="0" fillId="0" borderId="74" xfId="97" applyBorder="1" applyAlignment="1">
      <alignment vertical="center"/>
      <protection/>
    </xf>
    <xf numFmtId="3" fontId="71" fillId="0" borderId="0" xfId="108" applyNumberFormat="1" applyFont="1">
      <alignment/>
      <protection/>
    </xf>
    <xf numFmtId="3" fontId="6" fillId="0" borderId="0" xfId="0" applyNumberFormat="1" applyFont="1" applyAlignment="1">
      <alignment/>
    </xf>
    <xf numFmtId="0" fontId="15" fillId="0" borderId="19" xfId="108" applyFont="1" applyBorder="1" applyAlignment="1">
      <alignment horizontal="left" wrapText="1"/>
      <protection/>
    </xf>
    <xf numFmtId="169" fontId="45" fillId="0" borderId="98" xfId="100" applyNumberFormat="1" applyFont="1" applyBorder="1" applyAlignment="1">
      <alignment horizontal="left" vertical="center" wrapText="1" indent="1"/>
      <protection/>
    </xf>
    <xf numFmtId="169" fontId="45" fillId="0" borderId="77" xfId="100" applyNumberFormat="1" applyFont="1" applyBorder="1" applyAlignment="1">
      <alignment horizontal="left" vertical="center" wrapText="1" indent="1"/>
      <protection/>
    </xf>
    <xf numFmtId="169" fontId="53" fillId="0" borderId="76" xfId="100" applyNumberFormat="1" applyFont="1" applyBorder="1" applyAlignment="1">
      <alignment horizontal="left" vertical="center" wrapText="1" indent="1"/>
      <protection/>
    </xf>
    <xf numFmtId="169" fontId="45" fillId="0" borderId="78" xfId="100" applyNumberFormat="1" applyFont="1" applyBorder="1" applyAlignment="1">
      <alignment horizontal="left" vertical="center" wrapText="1" indent="1"/>
      <protection/>
    </xf>
    <xf numFmtId="3" fontId="76" fillId="0" borderId="29" xfId="110" applyNumberFormat="1" applyFont="1" applyBorder="1">
      <alignment/>
      <protection/>
    </xf>
    <xf numFmtId="3" fontId="76" fillId="0" borderId="28" xfId="110" applyNumberFormat="1" applyFont="1" applyBorder="1">
      <alignment/>
      <protection/>
    </xf>
    <xf numFmtId="3" fontId="76" fillId="0" borderId="58" xfId="110" applyNumberFormat="1" applyFont="1" applyBorder="1">
      <alignment/>
      <protection/>
    </xf>
    <xf numFmtId="0" fontId="41" fillId="0" borderId="0" xfId="108" applyFont="1">
      <alignment/>
      <protection/>
    </xf>
    <xf numFmtId="3" fontId="41" fillId="0" borderId="0" xfId="108" applyNumberFormat="1" applyFont="1">
      <alignment/>
      <protection/>
    </xf>
    <xf numFmtId="3" fontId="15" fillId="0" borderId="0" xfId="108" applyNumberFormat="1" applyFont="1">
      <alignment/>
      <protection/>
    </xf>
    <xf numFmtId="0" fontId="12" fillId="0" borderId="26" xfId="108" applyFont="1" applyBorder="1" applyAlignment="1">
      <alignment horizontal="center" vertical="center" wrapText="1"/>
      <protection/>
    </xf>
    <xf numFmtId="0" fontId="12" fillId="0" borderId="19" xfId="108" applyFont="1" applyBorder="1" applyAlignment="1">
      <alignment horizontal="center" vertical="center"/>
      <protection/>
    </xf>
    <xf numFmtId="0" fontId="12" fillId="0" borderId="25" xfId="108" applyFont="1" applyBorder="1" applyAlignment="1">
      <alignment horizontal="center" vertical="center"/>
      <protection/>
    </xf>
    <xf numFmtId="0" fontId="12" fillId="0" borderId="42" xfId="108" applyFont="1" applyBorder="1" applyAlignment="1">
      <alignment horizontal="center" vertical="center"/>
      <protection/>
    </xf>
    <xf numFmtId="0" fontId="12" fillId="0" borderId="42" xfId="108" applyFont="1" applyBorder="1" applyAlignment="1">
      <alignment horizontal="center" vertical="center" wrapText="1"/>
      <protection/>
    </xf>
    <xf numFmtId="0" fontId="12" fillId="0" borderId="77" xfId="108" applyFont="1" applyBorder="1" applyAlignment="1">
      <alignment horizontal="center" vertical="center" wrapText="1"/>
      <protection/>
    </xf>
    <xf numFmtId="0" fontId="12" fillId="0" borderId="77" xfId="108" applyFont="1" applyBorder="1" applyAlignment="1">
      <alignment horizontal="center" vertical="center"/>
      <protection/>
    </xf>
    <xf numFmtId="0" fontId="12" fillId="0" borderId="36" xfId="108" applyFont="1" applyBorder="1" applyAlignment="1">
      <alignment horizontal="center" vertical="center"/>
      <protection/>
    </xf>
    <xf numFmtId="3" fontId="66" fillId="0" borderId="0" xfId="105" applyNumberFormat="1" applyFont="1" applyAlignment="1">
      <alignment vertical="center"/>
      <protection/>
    </xf>
    <xf numFmtId="0" fontId="12" fillId="0" borderId="23" xfId="108" applyFont="1" applyBorder="1" applyAlignment="1">
      <alignment vertical="center" wrapText="1"/>
      <protection/>
    </xf>
    <xf numFmtId="10" fontId="18" fillId="0" borderId="21" xfId="108" applyNumberFormat="1" applyFont="1" applyBorder="1" applyAlignment="1">
      <alignment horizontal="right"/>
      <protection/>
    </xf>
    <xf numFmtId="3" fontId="18" fillId="0" borderId="92" xfId="68" applyNumberFormat="1" applyFont="1" applyBorder="1" applyAlignment="1">
      <alignment horizontal="right" vertical="center"/>
    </xf>
    <xf numFmtId="0" fontId="15" fillId="0" borderId="0" xfId="108" applyFont="1" applyAlignment="1">
      <alignment wrapText="1"/>
      <protection/>
    </xf>
    <xf numFmtId="0" fontId="15" fillId="0" borderId="0" xfId="108" applyFont="1">
      <alignment/>
      <protection/>
    </xf>
    <xf numFmtId="0" fontId="18" fillId="0" borderId="0" xfId="108" applyFont="1" applyAlignment="1">
      <alignment horizontal="center"/>
      <protection/>
    </xf>
    <xf numFmtId="0" fontId="18" fillId="0" borderId="0" xfId="108" applyFont="1" applyAlignment="1">
      <alignment horizontal="center" wrapText="1"/>
      <protection/>
    </xf>
    <xf numFmtId="0" fontId="6" fillId="0" borderId="32" xfId="108" applyFont="1" applyBorder="1" applyAlignment="1">
      <alignment horizontal="center" vertical="center"/>
      <protection/>
    </xf>
    <xf numFmtId="0" fontId="6" fillId="0" borderId="27" xfId="108" applyFont="1" applyBorder="1" applyAlignment="1">
      <alignment horizontal="center" vertical="center" wrapText="1"/>
      <protection/>
    </xf>
    <xf numFmtId="0" fontId="6" fillId="0" borderId="39" xfId="108" applyFont="1" applyBorder="1" applyAlignment="1">
      <alignment horizontal="center" vertical="center"/>
      <protection/>
    </xf>
    <xf numFmtId="0" fontId="6" fillId="0" borderId="44" xfId="108" applyFont="1" applyBorder="1" applyAlignment="1">
      <alignment horizontal="center" vertical="center" wrapText="1"/>
      <protection/>
    </xf>
    <xf numFmtId="0" fontId="2" fillId="0" borderId="36" xfId="10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6" fillId="0" borderId="27" xfId="108" applyFont="1" applyBorder="1" applyAlignment="1">
      <alignment vertical="center" wrapText="1"/>
      <protection/>
    </xf>
    <xf numFmtId="0" fontId="6" fillId="0" borderId="59" xfId="108" applyFont="1" applyBorder="1" applyAlignment="1">
      <alignment vertical="center"/>
      <protection/>
    </xf>
    <xf numFmtId="3" fontId="3" fillId="0" borderId="44" xfId="108" applyNumberFormat="1" applyFont="1" applyBorder="1" applyAlignment="1">
      <alignment vertical="center"/>
      <protection/>
    </xf>
    <xf numFmtId="3" fontId="13" fillId="0" borderId="0" xfId="108" applyNumberFormat="1" applyFont="1" applyAlignment="1">
      <alignment vertical="center"/>
      <protection/>
    </xf>
    <xf numFmtId="0" fontId="13" fillId="0" borderId="0" xfId="108" applyFont="1" applyAlignment="1">
      <alignment vertical="center"/>
      <protection/>
    </xf>
    <xf numFmtId="0" fontId="0" fillId="0" borderId="23" xfId="108" applyFont="1" applyBorder="1" applyAlignment="1">
      <alignment horizontal="center" vertical="center"/>
      <protection/>
    </xf>
    <xf numFmtId="169" fontId="45" fillId="0" borderId="54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99" xfId="0" applyNumberFormat="1" applyFont="1" applyBorder="1" applyAlignment="1">
      <alignment horizontal="right" vertical="center" wrapText="1" indent="1"/>
    </xf>
    <xf numFmtId="169" fontId="45" fillId="0" borderId="98" xfId="0" applyNumberFormat="1" applyFont="1" applyBorder="1" applyAlignment="1" applyProtection="1">
      <alignment horizontal="right" vertical="center" wrapText="1" indent="1"/>
      <protection locked="0"/>
    </xf>
    <xf numFmtId="3" fontId="0" fillId="0" borderId="0" xfId="97" applyNumberFormat="1">
      <alignment/>
      <protection/>
    </xf>
    <xf numFmtId="0" fontId="0" fillId="0" borderId="0" xfId="97">
      <alignment/>
      <protection/>
    </xf>
    <xf numFmtId="0" fontId="0" fillId="0" borderId="24" xfId="97" applyBorder="1" applyAlignment="1">
      <alignment wrapText="1"/>
      <protection/>
    </xf>
    <xf numFmtId="0" fontId="0" fillId="0" borderId="24" xfId="97" applyBorder="1">
      <alignment/>
      <protection/>
    </xf>
    <xf numFmtId="3" fontId="0" fillId="0" borderId="42" xfId="97" applyNumberFormat="1" applyBorder="1">
      <alignment/>
      <protection/>
    </xf>
    <xf numFmtId="3" fontId="0" fillId="0" borderId="28" xfId="97" applyNumberFormat="1" applyBorder="1">
      <alignment/>
      <protection/>
    </xf>
    <xf numFmtId="3" fontId="0" fillId="0" borderId="20" xfId="97" applyNumberFormat="1" applyBorder="1">
      <alignment/>
      <protection/>
    </xf>
    <xf numFmtId="0" fontId="0" fillId="0" borderId="20" xfId="97" applyBorder="1">
      <alignment/>
      <protection/>
    </xf>
    <xf numFmtId="3" fontId="0" fillId="0" borderId="30" xfId="97" applyNumberFormat="1" applyBorder="1" applyAlignment="1">
      <alignment horizontal="right" vertical="center"/>
      <protection/>
    </xf>
    <xf numFmtId="3" fontId="0" fillId="0" borderId="28" xfId="97" applyNumberFormat="1" applyBorder="1" applyAlignment="1">
      <alignment horizontal="right" vertical="center"/>
      <protection/>
    </xf>
    <xf numFmtId="3" fontId="0" fillId="0" borderId="42" xfId="97" applyNumberFormat="1" applyBorder="1" applyAlignment="1">
      <alignment horizontal="right" vertical="center"/>
      <protection/>
    </xf>
    <xf numFmtId="0" fontId="0" fillId="0" borderId="20" xfId="97" applyBorder="1" applyAlignment="1">
      <alignment vertical="center" wrapText="1"/>
      <protection/>
    </xf>
    <xf numFmtId="0" fontId="0" fillId="0" borderId="0" xfId="97" applyAlignment="1">
      <alignment vertical="center" wrapText="1"/>
      <protection/>
    </xf>
    <xf numFmtId="3" fontId="2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9" xfId="0" applyNumberFormat="1" applyFont="1" applyFill="1" applyBorder="1" applyAlignment="1">
      <alignment vertical="center"/>
    </xf>
    <xf numFmtId="0" fontId="0" fillId="0" borderId="28" xfId="97" applyBorder="1" applyAlignment="1">
      <alignment horizontal="center"/>
      <protection/>
    </xf>
    <xf numFmtId="0" fontId="0" fillId="0" borderId="42" xfId="97" applyBorder="1" applyAlignment="1">
      <alignment horizontal="center"/>
      <protection/>
    </xf>
    <xf numFmtId="0" fontId="152" fillId="0" borderId="24" xfId="97" applyFont="1" applyFill="1" applyBorder="1" applyAlignment="1">
      <alignment vertical="center" wrapText="1"/>
      <protection/>
    </xf>
    <xf numFmtId="0" fontId="152" fillId="0" borderId="20" xfId="97" applyFont="1" applyFill="1" applyBorder="1" applyAlignment="1">
      <alignment vertical="center" wrapText="1"/>
      <protection/>
    </xf>
    <xf numFmtId="0" fontId="152" fillId="0" borderId="30" xfId="97" applyFont="1" applyFill="1" applyBorder="1">
      <alignment/>
      <protection/>
    </xf>
    <xf numFmtId="3" fontId="152" fillId="0" borderId="30" xfId="97" applyNumberFormat="1" applyFont="1" applyFill="1" applyBorder="1">
      <alignment/>
      <protection/>
    </xf>
    <xf numFmtId="0" fontId="152" fillId="0" borderId="30" xfId="97" applyFont="1" applyFill="1" applyBorder="1" applyAlignment="1">
      <alignment wrapText="1"/>
      <protection/>
    </xf>
    <xf numFmtId="0" fontId="153" fillId="0" borderId="22" xfId="97" applyFont="1" applyFill="1" applyBorder="1" applyAlignment="1">
      <alignment horizontal="center" vertical="center"/>
      <protection/>
    </xf>
    <xf numFmtId="3" fontId="152" fillId="0" borderId="28" xfId="97" applyNumberFormat="1" applyFont="1" applyFill="1" applyBorder="1">
      <alignment/>
      <protection/>
    </xf>
    <xf numFmtId="0" fontId="152" fillId="0" borderId="28" xfId="97" applyFont="1" applyFill="1" applyBorder="1">
      <alignment/>
      <protection/>
    </xf>
    <xf numFmtId="3" fontId="152" fillId="0" borderId="20" xfId="97" applyNumberFormat="1" applyFont="1" applyFill="1" applyBorder="1">
      <alignment/>
      <protection/>
    </xf>
    <xf numFmtId="0" fontId="152" fillId="0" borderId="20" xfId="97" applyFont="1" applyFill="1" applyBorder="1">
      <alignment/>
      <protection/>
    </xf>
    <xf numFmtId="0" fontId="66" fillId="0" borderId="60" xfId="105" applyFont="1" applyBorder="1" applyAlignment="1">
      <alignment wrapText="1"/>
      <protection/>
    </xf>
    <xf numFmtId="3" fontId="66" fillId="0" borderId="74" xfId="105" applyNumberFormat="1" applyFont="1" applyBorder="1" applyAlignment="1">
      <alignment horizontal="right"/>
      <protection/>
    </xf>
    <xf numFmtId="3" fontId="15" fillId="0" borderId="26" xfId="0" applyNumberFormat="1" applyFont="1" applyFill="1" applyBorder="1" applyAlignment="1">
      <alignment horizontal="right" vertical="center"/>
    </xf>
    <xf numFmtId="3" fontId="15" fillId="0" borderId="19" xfId="108" applyNumberFormat="1" applyFont="1" applyFill="1" applyBorder="1" applyAlignment="1">
      <alignment horizontal="right" vertical="center"/>
      <protection/>
    </xf>
    <xf numFmtId="3" fontId="15" fillId="0" borderId="19" xfId="0" applyNumberFormat="1" applyFont="1" applyFill="1" applyBorder="1" applyAlignment="1">
      <alignment horizontal="right" vertical="center"/>
    </xf>
    <xf numFmtId="0" fontId="12" fillId="0" borderId="0" xfId="108" applyFont="1" applyFill="1" applyAlignment="1">
      <alignment horizontal="center" vertical="center"/>
      <protection/>
    </xf>
    <xf numFmtId="0" fontId="11" fillId="0" borderId="0" xfId="108" applyFont="1" applyFill="1" applyAlignment="1">
      <alignment vertical="center"/>
      <protection/>
    </xf>
    <xf numFmtId="0" fontId="11" fillId="0" borderId="52" xfId="108" applyFont="1" applyFill="1" applyBorder="1" applyAlignment="1">
      <alignment vertical="center"/>
      <protection/>
    </xf>
    <xf numFmtId="3" fontId="12" fillId="0" borderId="0" xfId="108" applyNumberFormat="1" applyFont="1" applyFill="1" applyAlignment="1">
      <alignment horizontal="center" vertical="center"/>
      <protection/>
    </xf>
    <xf numFmtId="3" fontId="12" fillId="0" borderId="0" xfId="108" applyNumberFormat="1" applyFont="1" applyFill="1" applyAlignment="1">
      <alignment horizontal="center" vertical="center"/>
      <protection/>
    </xf>
    <xf numFmtId="0" fontId="16" fillId="0" borderId="44" xfId="108" applyFont="1" applyFill="1" applyBorder="1" applyAlignment="1">
      <alignment horizontal="center" vertical="center"/>
      <protection/>
    </xf>
    <xf numFmtId="0" fontId="16" fillId="0" borderId="27" xfId="108" applyFont="1" applyFill="1" applyBorder="1" applyAlignment="1">
      <alignment horizontal="center" vertical="center"/>
      <protection/>
    </xf>
    <xf numFmtId="0" fontId="16" fillId="0" borderId="59" xfId="108" applyFont="1" applyFill="1" applyBorder="1" applyAlignment="1">
      <alignment horizontal="center" vertical="center"/>
      <protection/>
    </xf>
    <xf numFmtId="0" fontId="13" fillId="0" borderId="0" xfId="108" applyFont="1" applyFill="1" applyAlignment="1">
      <alignment vertical="center"/>
      <protection/>
    </xf>
    <xf numFmtId="0" fontId="16" fillId="0" borderId="64" xfId="108" applyFont="1" applyFill="1" applyBorder="1" applyAlignment="1">
      <alignment horizontal="center" vertical="center"/>
      <protection/>
    </xf>
    <xf numFmtId="0" fontId="16" fillId="0" borderId="30" xfId="108" applyFont="1" applyFill="1" applyBorder="1" applyAlignment="1">
      <alignment horizontal="center" vertical="center"/>
      <protection/>
    </xf>
    <xf numFmtId="0" fontId="16" fillId="0" borderId="95" xfId="108" applyFont="1" applyFill="1" applyBorder="1" applyAlignment="1">
      <alignment horizontal="center" vertical="center"/>
      <protection/>
    </xf>
    <xf numFmtId="3" fontId="16" fillId="0" borderId="48" xfId="108" applyNumberFormat="1" applyFont="1" applyFill="1" applyBorder="1" applyAlignment="1">
      <alignment horizontal="center" vertical="center"/>
      <protection/>
    </xf>
    <xf numFmtId="3" fontId="16" fillId="0" borderId="43" xfId="108" applyNumberFormat="1" applyFont="1" applyFill="1" applyBorder="1" applyAlignment="1">
      <alignment horizontal="center" vertical="center" wrapText="1"/>
      <protection/>
    </xf>
    <xf numFmtId="3" fontId="16" fillId="0" borderId="43" xfId="108" applyNumberFormat="1" applyFont="1" applyFill="1" applyBorder="1" applyAlignment="1">
      <alignment horizontal="center" vertical="center"/>
      <protection/>
    </xf>
    <xf numFmtId="3" fontId="16" fillId="0" borderId="43" xfId="108" applyNumberFormat="1" applyFont="1" applyFill="1" applyBorder="1" applyAlignment="1">
      <alignment horizontal="center" vertical="center"/>
      <protection/>
    </xf>
    <xf numFmtId="3" fontId="16" fillId="0" borderId="55" xfId="108" applyNumberFormat="1" applyFont="1" applyFill="1" applyBorder="1" applyAlignment="1">
      <alignment horizontal="center" vertical="center"/>
      <protection/>
    </xf>
    <xf numFmtId="0" fontId="11" fillId="0" borderId="19" xfId="108" applyFont="1" applyFill="1" applyBorder="1" applyAlignment="1">
      <alignment horizontal="center" vertical="center"/>
      <protection/>
    </xf>
    <xf numFmtId="0" fontId="19" fillId="0" borderId="24" xfId="0" applyFont="1" applyFill="1" applyBorder="1" applyAlignment="1">
      <alignment/>
    </xf>
    <xf numFmtId="0" fontId="14" fillId="0" borderId="62" xfId="0" applyFont="1" applyFill="1" applyBorder="1" applyAlignment="1">
      <alignment horizontal="center" vertical="center"/>
    </xf>
    <xf numFmtId="3" fontId="15" fillId="0" borderId="19" xfId="108" applyNumberFormat="1" applyFont="1" applyFill="1" applyBorder="1" applyAlignment="1">
      <alignment vertical="center"/>
      <protection/>
    </xf>
    <xf numFmtId="3" fontId="15" fillId="0" borderId="24" xfId="108" applyNumberFormat="1" applyFont="1" applyFill="1" applyBorder="1" applyAlignment="1">
      <alignment vertical="center"/>
      <protection/>
    </xf>
    <xf numFmtId="10" fontId="15" fillId="0" borderId="25" xfId="108" applyNumberFormat="1" applyFont="1" applyFill="1" applyBorder="1" applyAlignment="1">
      <alignment vertical="center"/>
      <protection/>
    </xf>
    <xf numFmtId="3" fontId="15" fillId="0" borderId="24" xfId="0" applyNumberFormat="1" applyFont="1" applyFill="1" applyBorder="1" applyAlignment="1">
      <alignment vertical="center"/>
    </xf>
    <xf numFmtId="0" fontId="14" fillId="0" borderId="62" xfId="108" applyFont="1" applyFill="1" applyBorder="1" applyAlignment="1">
      <alignment horizontal="center" vertical="center"/>
      <protection/>
    </xf>
    <xf numFmtId="3" fontId="15" fillId="0" borderId="24" xfId="108" applyNumberFormat="1" applyFont="1" applyFill="1" applyBorder="1" applyAlignment="1">
      <alignment vertical="center"/>
      <protection/>
    </xf>
    <xf numFmtId="0" fontId="32" fillId="0" borderId="24" xfId="108" applyFont="1" applyFill="1" applyBorder="1" applyAlignment="1">
      <alignment vertical="center" wrapText="1"/>
      <protection/>
    </xf>
    <xf numFmtId="3" fontId="15" fillId="0" borderId="19" xfId="108" applyNumberFormat="1" applyFont="1" applyFill="1" applyBorder="1" applyAlignment="1">
      <alignment vertical="center"/>
      <protection/>
    </xf>
    <xf numFmtId="0" fontId="14" fillId="0" borderId="63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vertical="center" wrapText="1"/>
    </xf>
    <xf numFmtId="3" fontId="15" fillId="0" borderId="28" xfId="108" applyNumberFormat="1" applyFont="1" applyFill="1" applyBorder="1" applyAlignment="1">
      <alignment horizontal="right" vertical="center"/>
      <protection/>
    </xf>
    <xf numFmtId="0" fontId="32" fillId="0" borderId="24" xfId="108" applyFont="1" applyFill="1" applyBorder="1" applyAlignment="1">
      <alignment vertical="center"/>
      <protection/>
    </xf>
    <xf numFmtId="3" fontId="15" fillId="0" borderId="24" xfId="108" applyNumberFormat="1" applyFont="1" applyFill="1" applyBorder="1" applyAlignment="1">
      <alignment horizontal="right" vertical="center"/>
      <protection/>
    </xf>
    <xf numFmtId="3" fontId="15" fillId="0" borderId="20" xfId="108" applyNumberFormat="1" applyFont="1" applyFill="1" applyBorder="1" applyAlignment="1">
      <alignment vertical="center"/>
      <protection/>
    </xf>
    <xf numFmtId="3" fontId="12" fillId="0" borderId="44" xfId="108" applyNumberFormat="1" applyFont="1" applyFill="1" applyBorder="1" applyAlignment="1">
      <alignment horizontal="right" vertical="center"/>
      <protection/>
    </xf>
    <xf numFmtId="3" fontId="12" fillId="0" borderId="27" xfId="108" applyNumberFormat="1" applyFont="1" applyFill="1" applyBorder="1" applyAlignment="1">
      <alignment horizontal="right" vertical="center"/>
      <protection/>
    </xf>
    <xf numFmtId="3" fontId="11" fillId="0" borderId="0" xfId="108" applyNumberFormat="1" applyFont="1" applyFill="1" applyAlignment="1">
      <alignment vertical="center"/>
      <protection/>
    </xf>
    <xf numFmtId="0" fontId="16" fillId="0" borderId="0" xfId="108" applyFont="1" applyFill="1" applyAlignment="1">
      <alignment horizontal="center" vertical="center"/>
      <protection/>
    </xf>
    <xf numFmtId="3" fontId="12" fillId="0" borderId="0" xfId="108" applyNumberFormat="1" applyFont="1" applyFill="1" applyAlignment="1">
      <alignment horizontal="right" vertical="center"/>
      <protection/>
    </xf>
    <xf numFmtId="3" fontId="12" fillId="0" borderId="0" xfId="108" applyNumberFormat="1" applyFont="1" applyFill="1" applyAlignment="1">
      <alignment horizontal="right" vertical="center"/>
      <protection/>
    </xf>
    <xf numFmtId="0" fontId="11" fillId="0" borderId="0" xfId="108" applyFont="1" applyFill="1" applyAlignment="1">
      <alignment vertical="center"/>
      <protection/>
    </xf>
    <xf numFmtId="0" fontId="11" fillId="0" borderId="0" xfId="108" applyFont="1" applyFill="1" applyAlignment="1">
      <alignment horizontal="center" vertical="center"/>
      <protection/>
    </xf>
    <xf numFmtId="0" fontId="16" fillId="0" borderId="48" xfId="108" applyFont="1" applyFill="1" applyBorder="1" applyAlignment="1">
      <alignment horizontal="center" vertical="center"/>
      <protection/>
    </xf>
    <xf numFmtId="0" fontId="16" fillId="0" borderId="43" xfId="108" applyFont="1" applyFill="1" applyBorder="1" applyAlignment="1">
      <alignment horizontal="center" vertical="center"/>
      <protection/>
    </xf>
    <xf numFmtId="0" fontId="16" fillId="0" borderId="66" xfId="108" applyFont="1" applyFill="1" applyBorder="1" applyAlignment="1">
      <alignment horizontal="center" vertical="center"/>
      <protection/>
    </xf>
    <xf numFmtId="0" fontId="11" fillId="0" borderId="22" xfId="108" applyFont="1" applyFill="1" applyBorder="1" applyAlignment="1">
      <alignment horizontal="center" vertical="center"/>
      <protection/>
    </xf>
    <xf numFmtId="3" fontId="15" fillId="0" borderId="19" xfId="0" applyNumberFormat="1" applyFont="1" applyFill="1" applyBorder="1" applyAlignment="1">
      <alignment vertical="center"/>
    </xf>
    <xf numFmtId="0" fontId="14" fillId="0" borderId="62" xfId="108" applyFont="1" applyFill="1" applyBorder="1" applyAlignment="1">
      <alignment horizontal="center"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0" fontId="32" fillId="0" borderId="97" xfId="108" applyFont="1" applyFill="1" applyBorder="1" applyAlignment="1">
      <alignment vertical="center" wrapText="1"/>
      <protection/>
    </xf>
    <xf numFmtId="0" fontId="14" fillId="0" borderId="63" xfId="108" applyFont="1" applyFill="1" applyBorder="1" applyAlignment="1">
      <alignment horizontal="center" vertical="center"/>
      <protection/>
    </xf>
    <xf numFmtId="0" fontId="11" fillId="0" borderId="26" xfId="108" applyFont="1" applyFill="1" applyBorder="1" applyAlignment="1">
      <alignment horizontal="center" vertical="center"/>
      <protection/>
    </xf>
    <xf numFmtId="0" fontId="14" fillId="0" borderId="97" xfId="0" applyFont="1" applyFill="1" applyBorder="1" applyAlignment="1">
      <alignment vertical="center"/>
    </xf>
    <xf numFmtId="0" fontId="11" fillId="0" borderId="0" xfId="108" applyFont="1">
      <alignment/>
      <protection/>
    </xf>
    <xf numFmtId="0" fontId="11" fillId="0" borderId="0" xfId="108" applyFont="1" applyAlignment="1">
      <alignment horizontal="left" wrapText="1"/>
      <protection/>
    </xf>
    <xf numFmtId="0" fontId="11" fillId="0" borderId="0" xfId="108" applyFont="1" applyAlignment="1">
      <alignment wrapText="1"/>
      <protection/>
    </xf>
    <xf numFmtId="0" fontId="11" fillId="0" borderId="52" xfId="108" applyFont="1" applyBorder="1">
      <alignment/>
      <protection/>
    </xf>
    <xf numFmtId="3" fontId="11" fillId="0" borderId="0" xfId="108" applyNumberFormat="1" applyFont="1">
      <alignment/>
      <protection/>
    </xf>
    <xf numFmtId="0" fontId="2" fillId="0" borderId="62" xfId="108" applyFont="1" applyBorder="1" applyAlignment="1">
      <alignment horizontal="center" vertical="center"/>
      <protection/>
    </xf>
    <xf numFmtId="0" fontId="0" fillId="0" borderId="62" xfId="108" applyFont="1" applyBorder="1" applyAlignment="1">
      <alignment horizontal="center" vertical="center"/>
      <protection/>
    </xf>
    <xf numFmtId="3" fontId="41" fillId="0" borderId="24" xfId="108" applyNumberFormat="1" applyFont="1" applyFill="1" applyBorder="1" applyAlignment="1">
      <alignment horizontal="right"/>
      <protection/>
    </xf>
    <xf numFmtId="10" fontId="41" fillId="0" borderId="62" xfId="108" applyNumberFormat="1" applyFont="1" applyFill="1" applyBorder="1" applyAlignment="1">
      <alignment horizontal="right"/>
      <protection/>
    </xf>
    <xf numFmtId="3" fontId="41" fillId="0" borderId="19" xfId="108" applyNumberFormat="1" applyFont="1" applyFill="1" applyBorder="1" applyAlignment="1">
      <alignment horizontal="right"/>
      <protection/>
    </xf>
    <xf numFmtId="0" fontId="153" fillId="51" borderId="22" xfId="97" applyFont="1" applyFill="1" applyBorder="1" applyAlignment="1">
      <alignment horizontal="center" vertical="center"/>
      <protection/>
    </xf>
    <xf numFmtId="0" fontId="152" fillId="51" borderId="30" xfId="97" applyFont="1" applyFill="1" applyBorder="1" applyAlignment="1">
      <alignment wrapText="1"/>
      <protection/>
    </xf>
    <xf numFmtId="3" fontId="152" fillId="51" borderId="30" xfId="97" applyNumberFormat="1" applyFont="1" applyFill="1" applyBorder="1">
      <alignment/>
      <protection/>
    </xf>
    <xf numFmtId="0" fontId="152" fillId="51" borderId="30" xfId="97" applyFont="1" applyFill="1" applyBorder="1">
      <alignment/>
      <protection/>
    </xf>
    <xf numFmtId="3" fontId="152" fillId="51" borderId="46" xfId="97" applyNumberFormat="1" applyFont="1" applyFill="1" applyBorder="1">
      <alignment/>
      <protection/>
    </xf>
    <xf numFmtId="0" fontId="0" fillId="51" borderId="0" xfId="97" applyFill="1">
      <alignment/>
      <protection/>
    </xf>
    <xf numFmtId="0" fontId="152" fillId="51" borderId="24" xfId="97" applyFont="1" applyFill="1" applyBorder="1" applyAlignment="1">
      <alignment vertical="center" wrapText="1"/>
      <protection/>
    </xf>
    <xf numFmtId="3" fontId="152" fillId="51" borderId="28" xfId="97" applyNumberFormat="1" applyFont="1" applyFill="1" applyBorder="1">
      <alignment/>
      <protection/>
    </xf>
    <xf numFmtId="0" fontId="152" fillId="51" borderId="28" xfId="97" applyFont="1" applyFill="1" applyBorder="1">
      <alignment/>
      <protection/>
    </xf>
    <xf numFmtId="0" fontId="152" fillId="51" borderId="58" xfId="97" applyFont="1" applyFill="1" applyBorder="1">
      <alignment/>
      <protection/>
    </xf>
    <xf numFmtId="0" fontId="152" fillId="51" borderId="20" xfId="97" applyFont="1" applyFill="1" applyBorder="1" applyAlignment="1">
      <alignment vertical="center" wrapText="1"/>
      <protection/>
    </xf>
    <xf numFmtId="3" fontId="152" fillId="51" borderId="20" xfId="97" applyNumberFormat="1" applyFont="1" applyFill="1" applyBorder="1">
      <alignment/>
      <protection/>
    </xf>
    <xf numFmtId="0" fontId="152" fillId="51" borderId="20" xfId="97" applyFont="1" applyFill="1" applyBorder="1">
      <alignment/>
      <protection/>
    </xf>
    <xf numFmtId="3" fontId="152" fillId="51" borderId="21" xfId="97" applyNumberFormat="1" applyFont="1" applyFill="1" applyBorder="1">
      <alignment/>
      <protection/>
    </xf>
    <xf numFmtId="3" fontId="16" fillId="0" borderId="44" xfId="108" applyNumberFormat="1" applyFont="1" applyFill="1" applyBorder="1" applyAlignment="1">
      <alignment horizontal="center" vertical="center"/>
      <protection/>
    </xf>
    <xf numFmtId="3" fontId="16" fillId="0" borderId="27" xfId="108" applyNumberFormat="1" applyFont="1" applyFill="1" applyBorder="1" applyAlignment="1">
      <alignment horizontal="center" vertical="center"/>
      <protection/>
    </xf>
    <xf numFmtId="3" fontId="16" fillId="0" borderId="45" xfId="108" applyNumberFormat="1" applyFont="1" applyFill="1" applyBorder="1" applyAlignment="1">
      <alignment horizontal="center" vertical="center"/>
      <protection/>
    </xf>
    <xf numFmtId="3" fontId="74" fillId="0" borderId="44" xfId="110" applyNumberFormat="1" applyFont="1" applyBorder="1" applyAlignment="1">
      <alignment horizontal="center" vertical="center" wrapText="1"/>
      <protection/>
    </xf>
    <xf numFmtId="3" fontId="74" fillId="0" borderId="27" xfId="110" applyNumberFormat="1" applyFont="1" applyBorder="1" applyAlignment="1">
      <alignment horizontal="center" vertical="center" wrapText="1"/>
      <protection/>
    </xf>
    <xf numFmtId="3" fontId="74" fillId="0" borderId="45" xfId="110" applyNumberFormat="1" applyFont="1" applyBorder="1" applyAlignment="1">
      <alignment horizontal="center" vertical="center" wrapText="1"/>
      <protection/>
    </xf>
    <xf numFmtId="0" fontId="12" fillId="0" borderId="24" xfId="108" applyFont="1" applyBorder="1" applyAlignment="1">
      <alignment horizontal="center" vertical="center"/>
      <protection/>
    </xf>
    <xf numFmtId="0" fontId="12" fillId="1" borderId="24" xfId="108" applyFont="1" applyFill="1" applyBorder="1" applyAlignment="1">
      <alignment horizontal="center" vertical="center"/>
      <protection/>
    </xf>
    <xf numFmtId="3" fontId="152" fillId="0" borderId="30" xfId="97" applyNumberFormat="1" applyFont="1" applyBorder="1">
      <alignment/>
      <protection/>
    </xf>
    <xf numFmtId="3" fontId="152" fillId="0" borderId="46" xfId="97" applyNumberFormat="1" applyFont="1" applyBorder="1">
      <alignment/>
      <protection/>
    </xf>
    <xf numFmtId="0" fontId="152" fillId="0" borderId="28" xfId="97" applyFont="1" applyBorder="1">
      <alignment/>
      <protection/>
    </xf>
    <xf numFmtId="0" fontId="152" fillId="0" borderId="58" xfId="97" applyFont="1" applyBorder="1">
      <alignment/>
      <protection/>
    </xf>
    <xf numFmtId="3" fontId="152" fillId="0" borderId="20" xfId="97" applyNumberFormat="1" applyFont="1" applyBorder="1">
      <alignment/>
      <protection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3" fontId="3" fillId="0" borderId="39" xfId="0" applyNumberFormat="1" applyFont="1" applyBorder="1" applyAlignment="1">
      <alignment horizontal="center" vertical="center" wrapText="1"/>
    </xf>
    <xf numFmtId="10" fontId="11" fillId="0" borderId="22" xfId="122" applyNumberFormat="1" applyFont="1" applyBorder="1" applyAlignment="1">
      <alignment vertical="center"/>
    </xf>
    <xf numFmtId="10" fontId="11" fillId="0" borderId="19" xfId="122" applyNumberFormat="1" applyFont="1" applyBorder="1" applyAlignment="1">
      <alignment vertical="center"/>
    </xf>
    <xf numFmtId="10" fontId="11" fillId="0" borderId="29" xfId="122" applyNumberFormat="1" applyFont="1" applyBorder="1" applyAlignment="1">
      <alignment vertical="center"/>
    </xf>
    <xf numFmtId="10" fontId="11" fillId="0" borderId="23" xfId="122" applyNumberFormat="1" applyFont="1" applyBorder="1" applyAlignment="1">
      <alignment vertical="center"/>
    </xf>
    <xf numFmtId="10" fontId="11" fillId="0" borderId="40" xfId="122" applyNumberFormat="1" applyFont="1" applyBorder="1" applyAlignment="1">
      <alignment vertical="center"/>
    </xf>
    <xf numFmtId="10" fontId="11" fillId="0" borderId="26" xfId="122" applyNumberFormat="1" applyFont="1" applyBorder="1" applyAlignment="1">
      <alignment vertical="center"/>
    </xf>
    <xf numFmtId="10" fontId="13" fillId="0" borderId="44" xfId="122" applyNumberFormat="1" applyFont="1" applyBorder="1" applyAlignment="1">
      <alignment vertical="center"/>
    </xf>
    <xf numFmtId="10" fontId="17" fillId="0" borderId="44" xfId="122" applyNumberFormat="1" applyFont="1" applyBorder="1" applyAlignment="1">
      <alignment vertical="center"/>
    </xf>
    <xf numFmtId="10" fontId="11" fillId="0" borderId="44" xfId="122" applyNumberFormat="1" applyFont="1" applyBorder="1" applyAlignment="1">
      <alignment vertical="center"/>
    </xf>
    <xf numFmtId="10" fontId="38" fillId="0" borderId="44" xfId="122" applyNumberFormat="1" applyFont="1" applyBorder="1" applyAlignment="1">
      <alignment vertical="center"/>
    </xf>
    <xf numFmtId="10" fontId="3" fillId="0" borderId="44" xfId="122" applyNumberFormat="1" applyFont="1" applyBorder="1" applyAlignment="1">
      <alignment vertical="center"/>
    </xf>
    <xf numFmtId="10" fontId="7" fillId="0" borderId="26" xfId="122" applyNumberFormat="1" applyFont="1" applyBorder="1" applyAlignment="1">
      <alignment vertical="center"/>
    </xf>
    <xf numFmtId="10" fontId="39" fillId="0" borderId="44" xfId="122" applyNumberFormat="1" applyFont="1" applyBorder="1" applyAlignment="1">
      <alignment vertical="center"/>
    </xf>
    <xf numFmtId="10" fontId="3" fillId="0" borderId="44" xfId="122" applyNumberFormat="1" applyFont="1" applyBorder="1" applyAlignment="1">
      <alignment horizontal="right" vertical="center"/>
    </xf>
    <xf numFmtId="10" fontId="7" fillId="0" borderId="29" xfId="122" applyNumberFormat="1" applyFont="1" applyBorder="1" applyAlignment="1">
      <alignment vertical="center"/>
    </xf>
    <xf numFmtId="10" fontId="7" fillId="0" borderId="19" xfId="122" applyNumberFormat="1" applyFont="1" applyBorder="1" applyAlignment="1">
      <alignment vertical="center"/>
    </xf>
    <xf numFmtId="10" fontId="3" fillId="0" borderId="48" xfId="122" applyNumberFormat="1" applyFont="1" applyBorder="1" applyAlignment="1">
      <alignment vertical="center"/>
    </xf>
    <xf numFmtId="10" fontId="3" fillId="0" borderId="29" xfId="122" applyNumberFormat="1" applyFont="1" applyBorder="1" applyAlignment="1">
      <alignment vertical="center"/>
    </xf>
    <xf numFmtId="3" fontId="3" fillId="49" borderId="39" xfId="0" applyNumberFormat="1" applyFont="1" applyFill="1" applyBorder="1" applyAlignment="1">
      <alignment horizontal="right" vertical="center" wrapText="1"/>
    </xf>
    <xf numFmtId="10" fontId="3" fillId="49" borderId="27" xfId="122" applyNumberFormat="1" applyFont="1" applyFill="1" applyBorder="1" applyAlignment="1">
      <alignment horizontal="right" vertical="center" wrapText="1"/>
    </xf>
    <xf numFmtId="10" fontId="7" fillId="49" borderId="30" xfId="122" applyNumberFormat="1" applyFont="1" applyFill="1" applyBorder="1" applyAlignment="1">
      <alignment horizontal="right" vertical="center" wrapText="1"/>
    </xf>
    <xf numFmtId="10" fontId="7" fillId="49" borderId="24" xfId="122" applyNumberFormat="1" applyFont="1" applyFill="1" applyBorder="1" applyAlignment="1">
      <alignment horizontal="right" vertical="center" wrapText="1"/>
    </xf>
    <xf numFmtId="10" fontId="3" fillId="49" borderId="44" xfId="122" applyNumberFormat="1" applyFont="1" applyFill="1" applyBorder="1" applyAlignment="1">
      <alignment horizontal="right" vertical="center" wrapText="1"/>
    </xf>
    <xf numFmtId="10" fontId="7" fillId="49" borderId="42" xfId="122" applyNumberFormat="1" applyFont="1" applyFill="1" applyBorder="1" applyAlignment="1">
      <alignment horizontal="right" vertical="center" wrapText="1"/>
    </xf>
    <xf numFmtId="10" fontId="7" fillId="0" borderId="24" xfId="122" applyNumberFormat="1" applyFont="1" applyBorder="1" applyAlignment="1">
      <alignment horizontal="right" vertical="center"/>
    </xf>
    <xf numFmtId="10" fontId="3" fillId="0" borderId="27" xfId="122" applyNumberFormat="1" applyFont="1" applyBorder="1" applyAlignment="1">
      <alignment horizontal="right" vertical="center"/>
    </xf>
    <xf numFmtId="10" fontId="7" fillId="0" borderId="19" xfId="122" applyNumberFormat="1" applyFont="1" applyBorder="1" applyAlignment="1">
      <alignment horizontal="right" vertical="center"/>
    </xf>
    <xf numFmtId="10" fontId="7" fillId="0" borderId="20" xfId="122" applyNumberFormat="1" applyFont="1" applyBorder="1" applyAlignment="1">
      <alignment horizontal="right" vertical="center"/>
    </xf>
    <xf numFmtId="10" fontId="3" fillId="0" borderId="27" xfId="122" applyNumberFormat="1" applyFont="1" applyBorder="1" applyAlignment="1">
      <alignment vertical="center"/>
    </xf>
    <xf numFmtId="10" fontId="3" fillId="0" borderId="42" xfId="122" applyNumberFormat="1" applyFont="1" applyBorder="1" applyAlignment="1">
      <alignment vertical="center"/>
    </xf>
    <xf numFmtId="10" fontId="7" fillId="0" borderId="28" xfId="122" applyNumberFormat="1" applyFont="1" applyBorder="1" applyAlignment="1">
      <alignment vertical="center"/>
    </xf>
    <xf numFmtId="10" fontId="2" fillId="0" borderId="27" xfId="122" applyNumberFormat="1" applyFont="1" applyBorder="1" applyAlignment="1">
      <alignment vertical="center"/>
    </xf>
    <xf numFmtId="10" fontId="4" fillId="0" borderId="27" xfId="122" applyNumberFormat="1" applyFont="1" applyBorder="1" applyAlignment="1">
      <alignment vertical="center"/>
    </xf>
    <xf numFmtId="10" fontId="37" fillId="0" borderId="25" xfId="122" applyNumberFormat="1" applyFont="1" applyBorder="1" applyAlignment="1">
      <alignment horizontal="center" vertical="center" wrapText="1"/>
    </xf>
    <xf numFmtId="2" fontId="37" fillId="0" borderId="25" xfId="109" applyNumberFormat="1" applyFont="1" applyFill="1" applyBorder="1" applyAlignment="1">
      <alignment horizontal="center" vertical="center" wrapText="1"/>
      <protection/>
    </xf>
    <xf numFmtId="2" fontId="35" fillId="0" borderId="47" xfId="109" applyNumberFormat="1" applyFont="1" applyFill="1" applyBorder="1" applyAlignment="1">
      <alignment horizontal="center" vertical="center"/>
      <protection/>
    </xf>
    <xf numFmtId="2" fontId="33" fillId="0" borderId="0" xfId="109" applyNumberFormat="1" applyFont="1" applyFill="1" applyAlignment="1">
      <alignment horizontal="center" vertical="center"/>
      <protection/>
    </xf>
    <xf numFmtId="2" fontId="35" fillId="0" borderId="45" xfId="109" applyNumberFormat="1" applyFont="1" applyFill="1" applyBorder="1" applyAlignment="1">
      <alignment horizontal="center" vertical="center" wrapText="1"/>
      <protection/>
    </xf>
    <xf numFmtId="3" fontId="15" fillId="0" borderId="24" xfId="108" applyNumberFormat="1" applyFont="1" applyFill="1" applyBorder="1" applyAlignment="1">
      <alignment horizontal="right" vertical="center"/>
      <protection/>
    </xf>
    <xf numFmtId="10" fontId="15" fillId="0" borderId="25" xfId="122" applyNumberFormat="1" applyFont="1" applyFill="1" applyBorder="1" applyAlignment="1">
      <alignment horizontal="right" vertical="center"/>
    </xf>
    <xf numFmtId="3" fontId="12" fillId="0" borderId="27" xfId="108" applyNumberFormat="1" applyFont="1" applyFill="1" applyBorder="1" applyAlignment="1">
      <alignment horizontal="right" vertical="center"/>
      <protection/>
    </xf>
    <xf numFmtId="10" fontId="12" fillId="0" borderId="45" xfId="122" applyNumberFormat="1" applyFont="1" applyFill="1" applyBorder="1" applyAlignment="1">
      <alignment horizontal="right" vertical="center"/>
    </xf>
    <xf numFmtId="3" fontId="15" fillId="0" borderId="42" xfId="0" applyNumberFormat="1" applyFont="1" applyFill="1" applyBorder="1" applyAlignment="1">
      <alignment horizontal="right" vertical="center"/>
    </xf>
    <xf numFmtId="10" fontId="15" fillId="0" borderId="57" xfId="122" applyNumberFormat="1" applyFont="1" applyFill="1" applyBorder="1" applyAlignment="1">
      <alignment horizontal="right" vertical="center"/>
    </xf>
    <xf numFmtId="3" fontId="15" fillId="0" borderId="26" xfId="108" applyNumberFormat="1" applyFont="1" applyFill="1" applyBorder="1" applyAlignment="1">
      <alignment vertical="center"/>
      <protection/>
    </xf>
    <xf numFmtId="3" fontId="15" fillId="0" borderId="42" xfId="108" applyNumberFormat="1" applyFont="1" applyFill="1" applyBorder="1" applyAlignment="1">
      <alignment vertical="center"/>
      <protection/>
    </xf>
    <xf numFmtId="10" fontId="15" fillId="0" borderId="57" xfId="108" applyNumberFormat="1" applyFont="1" applyFill="1" applyBorder="1" applyAlignment="1">
      <alignment vertical="center"/>
      <protection/>
    </xf>
    <xf numFmtId="3" fontId="16" fillId="0" borderId="27" xfId="108" applyNumberFormat="1" applyFont="1" applyFill="1" applyBorder="1" applyAlignment="1">
      <alignment horizontal="center" vertical="center" wrapText="1"/>
      <protection/>
    </xf>
    <xf numFmtId="10" fontId="7" fillId="0" borderId="26" xfId="122" applyNumberFormat="1" applyFont="1" applyBorder="1" applyAlignment="1">
      <alignment horizontal="right" vertical="center"/>
    </xf>
    <xf numFmtId="10" fontId="7" fillId="0" borderId="22" xfId="122" applyNumberFormat="1" applyFont="1" applyBorder="1" applyAlignment="1">
      <alignment horizontal="right" vertical="center"/>
    </xf>
    <xf numFmtId="3" fontId="76" fillId="0" borderId="42" xfId="110" applyNumberFormat="1" applyFont="1" applyBorder="1" applyAlignment="1">
      <alignment vertical="top"/>
      <protection/>
    </xf>
    <xf numFmtId="10" fontId="76" fillId="0" borderId="57" xfId="110" applyNumberFormat="1" applyFont="1" applyBorder="1" applyAlignment="1">
      <alignment vertical="top"/>
      <protection/>
    </xf>
    <xf numFmtId="3" fontId="76" fillId="0" borderId="26" xfId="110" applyNumberFormat="1" applyFont="1" applyBorder="1" applyAlignment="1">
      <alignment vertical="top"/>
      <protection/>
    </xf>
    <xf numFmtId="10" fontId="32" fillId="0" borderId="24" xfId="122" applyNumberFormat="1" applyFont="1" applyBorder="1" applyAlignment="1">
      <alignment horizontal="right" vertical="center" wrapText="1"/>
    </xf>
    <xf numFmtId="10" fontId="32" fillId="0" borderId="24" xfId="122" applyNumberFormat="1" applyFont="1" applyBorder="1" applyAlignment="1">
      <alignment vertical="center"/>
    </xf>
    <xf numFmtId="10" fontId="32" fillId="0" borderId="96" xfId="122" applyNumberFormat="1" applyFont="1" applyBorder="1" applyAlignment="1">
      <alignment vertical="center"/>
    </xf>
    <xf numFmtId="10" fontId="32" fillId="0" borderId="28" xfId="122" applyNumberFormat="1" applyFont="1" applyBorder="1" applyAlignment="1">
      <alignment vertical="center"/>
    </xf>
    <xf numFmtId="10" fontId="38" fillId="50" borderId="84" xfId="122" applyNumberFormat="1" applyFont="1" applyFill="1" applyBorder="1" applyAlignment="1">
      <alignment horizontal="right" vertical="center" wrapText="1"/>
    </xf>
    <xf numFmtId="10" fontId="18" fillId="0" borderId="20" xfId="122" applyNumberFormat="1" applyFont="1" applyBorder="1" applyAlignment="1">
      <alignment horizontal="right" vertical="center"/>
    </xf>
    <xf numFmtId="3" fontId="41" fillId="0" borderId="28" xfId="108" applyNumberFormat="1" applyFont="1" applyFill="1" applyBorder="1" applyAlignment="1">
      <alignment horizontal="right"/>
      <protection/>
    </xf>
    <xf numFmtId="0" fontId="111" fillId="0" borderId="0" xfId="102" applyFont="1">
      <alignment/>
      <protection/>
    </xf>
    <xf numFmtId="0" fontId="112" fillId="0" borderId="0" xfId="113" applyFont="1">
      <alignment/>
      <protection/>
    </xf>
    <xf numFmtId="0" fontId="112" fillId="0" borderId="0" xfId="113" applyFont="1" applyAlignment="1">
      <alignment horizontal="center"/>
      <protection/>
    </xf>
    <xf numFmtId="0" fontId="78" fillId="0" borderId="100" xfId="113" applyFont="1" applyBorder="1" applyAlignment="1">
      <alignment horizontal="center" vertical="center"/>
      <protection/>
    </xf>
    <xf numFmtId="0" fontId="113" fillId="0" borderId="101" xfId="112" applyFont="1" applyBorder="1" applyAlignment="1">
      <alignment horizontal="center" vertical="center" textRotation="90"/>
      <protection/>
    </xf>
    <xf numFmtId="0" fontId="78" fillId="0" borderId="101" xfId="113" applyFont="1" applyBorder="1" applyAlignment="1">
      <alignment horizontal="center" vertical="center" wrapText="1"/>
      <protection/>
    </xf>
    <xf numFmtId="0" fontId="78" fillId="0" borderId="102" xfId="113" applyFont="1" applyBorder="1" applyAlignment="1">
      <alignment horizontal="center" vertical="center" wrapText="1"/>
      <protection/>
    </xf>
    <xf numFmtId="0" fontId="78" fillId="0" borderId="103" xfId="113" applyFont="1" applyBorder="1" applyAlignment="1">
      <alignment horizontal="center" vertical="center" wrapText="1"/>
      <protection/>
    </xf>
    <xf numFmtId="0" fontId="78" fillId="0" borderId="104" xfId="113" applyFont="1" applyBorder="1" applyAlignment="1">
      <alignment horizontal="center" vertical="center"/>
      <protection/>
    </xf>
    <xf numFmtId="0" fontId="78" fillId="0" borderId="105" xfId="113" applyFont="1" applyBorder="1" applyAlignment="1">
      <alignment horizontal="center" vertical="center" wrapText="1"/>
      <protection/>
    </xf>
    <xf numFmtId="0" fontId="78" fillId="0" borderId="106" xfId="113" applyFont="1" applyBorder="1" applyAlignment="1">
      <alignment horizontal="center" vertical="center" wrapText="1"/>
      <protection/>
    </xf>
    <xf numFmtId="0" fontId="112" fillId="0" borderId="107" xfId="113" applyFont="1" applyBorder="1">
      <alignment/>
      <protection/>
    </xf>
    <xf numFmtId="0" fontId="112" fillId="0" borderId="108" xfId="113" applyFont="1" applyBorder="1" applyProtection="1">
      <alignment/>
      <protection locked="0"/>
    </xf>
    <xf numFmtId="0" fontId="112" fillId="0" borderId="109" xfId="113" applyFont="1" applyBorder="1" applyAlignment="1">
      <alignment horizontal="right" indent="1"/>
      <protection/>
    </xf>
    <xf numFmtId="3" fontId="112" fillId="0" borderId="109" xfId="113" applyNumberFormat="1" applyFont="1" applyBorder="1" applyProtection="1">
      <alignment/>
      <protection locked="0"/>
    </xf>
    <xf numFmtId="3" fontId="154" fillId="0" borderId="0" xfId="0" applyNumberFormat="1" applyFont="1" applyAlignment="1">
      <alignment/>
    </xf>
    <xf numFmtId="3" fontId="112" fillId="0" borderId="110" xfId="113" applyNumberFormat="1" applyFont="1" applyBorder="1">
      <alignment/>
      <protection/>
    </xf>
    <xf numFmtId="0" fontId="112" fillId="0" borderId="111" xfId="113" applyFont="1" applyBorder="1" applyAlignment="1">
      <alignment horizontal="right" indent="1"/>
      <protection/>
    </xf>
    <xf numFmtId="3" fontId="112" fillId="0" borderId="111" xfId="113" applyNumberFormat="1" applyFont="1" applyBorder="1" applyProtection="1">
      <alignment/>
      <protection locked="0"/>
    </xf>
    <xf numFmtId="3" fontId="112" fillId="0" borderId="112" xfId="113" applyNumberFormat="1" applyFont="1" applyBorder="1" applyProtection="1">
      <alignment/>
      <protection locked="0"/>
    </xf>
    <xf numFmtId="3" fontId="112" fillId="0" borderId="113" xfId="113" applyNumberFormat="1" applyFont="1" applyBorder="1">
      <alignment/>
      <protection/>
    </xf>
    <xf numFmtId="0" fontId="112" fillId="0" borderId="114" xfId="113" applyFont="1" applyBorder="1" applyProtection="1">
      <alignment/>
      <protection locked="0"/>
    </xf>
    <xf numFmtId="0" fontId="112" fillId="0" borderId="115" xfId="113" applyFont="1" applyBorder="1" applyAlignment="1">
      <alignment horizontal="right" indent="1"/>
      <protection/>
    </xf>
    <xf numFmtId="3" fontId="112" fillId="0" borderId="115" xfId="113" applyNumberFormat="1" applyFont="1" applyBorder="1" applyProtection="1">
      <alignment/>
      <protection locked="0"/>
    </xf>
    <xf numFmtId="3" fontId="112" fillId="0" borderId="116" xfId="113" applyNumberFormat="1" applyFont="1" applyBorder="1" applyProtection="1">
      <alignment/>
      <protection locked="0"/>
    </xf>
    <xf numFmtId="3" fontId="112" fillId="0" borderId="117" xfId="113" applyNumberFormat="1" applyFont="1" applyBorder="1">
      <alignment/>
      <protection/>
    </xf>
    <xf numFmtId="0" fontId="78" fillId="0" borderId="104" xfId="113" applyFont="1" applyBorder="1" applyProtection="1">
      <alignment/>
      <protection locked="0"/>
    </xf>
    <xf numFmtId="0" fontId="78" fillId="0" borderId="105" xfId="113" applyFont="1" applyBorder="1" applyAlignment="1">
      <alignment horizontal="right" indent="1"/>
      <protection/>
    </xf>
    <xf numFmtId="3" fontId="78" fillId="0" borderId="105" xfId="113" applyNumberFormat="1" applyFont="1" applyBorder="1" applyProtection="1">
      <alignment/>
      <protection locked="0"/>
    </xf>
    <xf numFmtId="3" fontId="78" fillId="0" borderId="107" xfId="113" applyNumberFormat="1" applyFont="1" applyBorder="1">
      <alignment/>
      <protection/>
    </xf>
    <xf numFmtId="0" fontId="112" fillId="0" borderId="118" xfId="113" applyFont="1" applyBorder="1" applyProtection="1">
      <alignment/>
      <protection locked="0"/>
    </xf>
    <xf numFmtId="3" fontId="112" fillId="0" borderId="119" xfId="113" applyNumberFormat="1" applyFont="1" applyBorder="1" applyProtection="1">
      <alignment/>
      <protection locked="0"/>
    </xf>
    <xf numFmtId="0" fontId="112" fillId="0" borderId="113" xfId="113" applyFont="1" applyBorder="1">
      <alignment/>
      <protection/>
    </xf>
    <xf numFmtId="0" fontId="112" fillId="0" borderId="117" xfId="113" applyFont="1" applyBorder="1">
      <alignment/>
      <protection/>
    </xf>
    <xf numFmtId="0" fontId="112" fillId="0" borderId="105" xfId="113" applyFont="1" applyBorder="1" applyAlignment="1">
      <alignment horizontal="right" indent="1"/>
      <protection/>
    </xf>
    <xf numFmtId="3" fontId="112" fillId="0" borderId="105" xfId="113" applyNumberFormat="1" applyFont="1" applyBorder="1" applyProtection="1">
      <alignment/>
      <protection locked="0"/>
    </xf>
    <xf numFmtId="183" fontId="63" fillId="0" borderId="106" xfId="112" applyNumberFormat="1" applyFont="1" applyBorder="1" applyAlignment="1">
      <alignment vertical="center"/>
      <protection/>
    </xf>
    <xf numFmtId="0" fontId="112" fillId="0" borderId="110" xfId="113" applyFont="1" applyBorder="1">
      <alignment/>
      <protection/>
    </xf>
    <xf numFmtId="3" fontId="112" fillId="0" borderId="120" xfId="113" applyNumberFormat="1" applyFont="1" applyBorder="1">
      <alignment/>
      <protection/>
    </xf>
    <xf numFmtId="184" fontId="63" fillId="0" borderId="106" xfId="112" applyNumberFormat="1" applyFont="1" applyBorder="1" applyAlignment="1">
      <alignment vertical="center"/>
      <protection/>
    </xf>
    <xf numFmtId="183" fontId="63" fillId="0" borderId="107" xfId="112" applyNumberFormat="1" applyFont="1" applyBorder="1" applyAlignment="1">
      <alignment vertical="center"/>
      <protection/>
    </xf>
    <xf numFmtId="0" fontId="78" fillId="0" borderId="0" xfId="113" applyFont="1">
      <alignment/>
      <protection/>
    </xf>
    <xf numFmtId="0" fontId="19" fillId="0" borderId="0" xfId="102">
      <alignment/>
      <protection/>
    </xf>
    <xf numFmtId="0" fontId="76" fillId="0" borderId="0" xfId="113">
      <alignment/>
      <protection/>
    </xf>
    <xf numFmtId="0" fontId="76" fillId="0" borderId="0" xfId="113" applyAlignment="1">
      <alignment horizontal="center"/>
      <protection/>
    </xf>
    <xf numFmtId="0" fontId="26" fillId="0" borderId="0" xfId="102" applyFont="1">
      <alignment/>
      <protection/>
    </xf>
    <xf numFmtId="0" fontId="69" fillId="0" borderId="100" xfId="113" applyFont="1" applyBorder="1" applyAlignment="1">
      <alignment horizontal="center" vertical="center"/>
      <protection/>
    </xf>
    <xf numFmtId="0" fontId="62" fillId="0" borderId="101" xfId="112" applyFont="1" applyBorder="1" applyAlignment="1">
      <alignment horizontal="center" vertical="center" textRotation="90"/>
      <protection/>
    </xf>
    <xf numFmtId="0" fontId="69" fillId="0" borderId="101" xfId="113" applyFont="1" applyBorder="1" applyAlignment="1">
      <alignment horizontal="center" vertical="center" wrapText="1"/>
      <protection/>
    </xf>
    <xf numFmtId="0" fontId="69" fillId="0" borderId="102" xfId="113" applyFont="1" applyBorder="1" applyAlignment="1">
      <alignment horizontal="center" vertical="center" wrapText="1"/>
      <protection/>
    </xf>
    <xf numFmtId="0" fontId="69" fillId="0" borderId="103" xfId="113" applyFont="1" applyBorder="1" applyAlignment="1">
      <alignment horizontal="center" vertical="center" wrapText="1"/>
      <protection/>
    </xf>
    <xf numFmtId="0" fontId="69" fillId="0" borderId="104" xfId="113" applyFont="1" applyBorder="1" applyAlignment="1">
      <alignment horizontal="center" vertical="center"/>
      <protection/>
    </xf>
    <xf numFmtId="0" fontId="69" fillId="0" borderId="105" xfId="113" applyFont="1" applyBorder="1" applyAlignment="1">
      <alignment horizontal="center" vertical="center" wrapText="1"/>
      <protection/>
    </xf>
    <xf numFmtId="0" fontId="69" fillId="0" borderId="106" xfId="113" applyFont="1" applyBorder="1" applyAlignment="1">
      <alignment horizontal="center" vertical="center" wrapText="1"/>
      <protection/>
    </xf>
    <xf numFmtId="0" fontId="76" fillId="0" borderId="107" xfId="113" applyBorder="1">
      <alignment/>
      <protection/>
    </xf>
    <xf numFmtId="0" fontId="76" fillId="0" borderId="108" xfId="113" applyBorder="1" applyProtection="1">
      <alignment/>
      <protection locked="0"/>
    </xf>
    <xf numFmtId="0" fontId="76" fillId="0" borderId="109" xfId="113" applyBorder="1" applyAlignment="1">
      <alignment horizontal="right" indent="1"/>
      <protection/>
    </xf>
    <xf numFmtId="3" fontId="76" fillId="0" borderId="109" xfId="113" applyNumberFormat="1" applyBorder="1" applyProtection="1">
      <alignment/>
      <protection locked="0"/>
    </xf>
    <xf numFmtId="3" fontId="155" fillId="0" borderId="0" xfId="0" applyNumberFormat="1" applyFont="1" applyAlignment="1">
      <alignment/>
    </xf>
    <xf numFmtId="3" fontId="76" fillId="0" borderId="110" xfId="113" applyNumberFormat="1" applyBorder="1">
      <alignment/>
      <protection/>
    </xf>
    <xf numFmtId="0" fontId="76" fillId="0" borderId="111" xfId="113" applyBorder="1" applyAlignment="1">
      <alignment horizontal="center" indent="1"/>
      <protection/>
    </xf>
    <xf numFmtId="3" fontId="76" fillId="0" borderId="111" xfId="113" applyNumberFormat="1" applyBorder="1" applyProtection="1">
      <alignment/>
      <protection locked="0"/>
    </xf>
    <xf numFmtId="3" fontId="76" fillId="0" borderId="112" xfId="113" applyNumberFormat="1" applyBorder="1" applyProtection="1">
      <alignment/>
      <protection locked="0"/>
    </xf>
    <xf numFmtId="3" fontId="76" fillId="0" borderId="113" xfId="113" applyNumberFormat="1" applyBorder="1">
      <alignment/>
      <protection/>
    </xf>
    <xf numFmtId="0" fontId="76" fillId="0" borderId="109" xfId="113" applyBorder="1" applyAlignment="1">
      <alignment horizontal="center" indent="1"/>
      <protection/>
    </xf>
    <xf numFmtId="0" fontId="76" fillId="0" borderId="114" xfId="113" applyBorder="1" applyProtection="1">
      <alignment/>
      <protection locked="0"/>
    </xf>
    <xf numFmtId="0" fontId="76" fillId="0" borderId="115" xfId="113" applyBorder="1" applyAlignment="1">
      <alignment horizontal="right" indent="1"/>
      <protection/>
    </xf>
    <xf numFmtId="3" fontId="76" fillId="0" borderId="115" xfId="113" applyNumberFormat="1" applyBorder="1" applyProtection="1">
      <alignment/>
      <protection locked="0"/>
    </xf>
    <xf numFmtId="3" fontId="76" fillId="0" borderId="116" xfId="113" applyNumberFormat="1" applyBorder="1" applyProtection="1">
      <alignment/>
      <protection locked="0"/>
    </xf>
    <xf numFmtId="3" fontId="76" fillId="0" borderId="117" xfId="113" applyNumberFormat="1" applyBorder="1">
      <alignment/>
      <protection/>
    </xf>
    <xf numFmtId="0" fontId="69" fillId="0" borderId="104" xfId="113" applyFont="1" applyBorder="1" applyProtection="1">
      <alignment/>
      <protection locked="0"/>
    </xf>
    <xf numFmtId="0" fontId="69" fillId="0" borderId="105" xfId="113" applyFont="1" applyBorder="1" applyAlignment="1">
      <alignment horizontal="right" indent="1"/>
      <protection/>
    </xf>
    <xf numFmtId="3" fontId="69" fillId="0" borderId="105" xfId="113" applyNumberFormat="1" applyFont="1" applyBorder="1" applyProtection="1">
      <alignment/>
      <protection locked="0"/>
    </xf>
    <xf numFmtId="3" fontId="46" fillId="0" borderId="106" xfId="112" applyNumberFormat="1" applyFont="1" applyBorder="1" applyAlignment="1">
      <alignment horizontal="right" vertical="center"/>
      <protection/>
    </xf>
    <xf numFmtId="3" fontId="69" fillId="0" borderId="107" xfId="113" applyNumberFormat="1" applyFont="1" applyBorder="1">
      <alignment/>
      <protection/>
    </xf>
    <xf numFmtId="0" fontId="76" fillId="0" borderId="118" xfId="113" applyBorder="1" applyProtection="1">
      <alignment/>
      <protection locked="0"/>
    </xf>
    <xf numFmtId="3" fontId="76" fillId="0" borderId="119" xfId="113" applyNumberFormat="1" applyBorder="1" applyProtection="1">
      <alignment/>
      <protection locked="0"/>
    </xf>
    <xf numFmtId="0" fontId="76" fillId="0" borderId="111" xfId="113" applyBorder="1" applyAlignment="1">
      <alignment horizontal="right" indent="1"/>
      <protection/>
    </xf>
    <xf numFmtId="0" fontId="76" fillId="0" borderId="113" xfId="113" applyBorder="1">
      <alignment/>
      <protection/>
    </xf>
    <xf numFmtId="0" fontId="76" fillId="0" borderId="117" xfId="113" applyBorder="1">
      <alignment/>
      <protection/>
    </xf>
    <xf numFmtId="0" fontId="76" fillId="0" borderId="105" xfId="113" applyBorder="1" applyAlignment="1">
      <alignment horizontal="right" indent="1"/>
      <protection/>
    </xf>
    <xf numFmtId="3" fontId="76" fillId="0" borderId="105" xfId="113" applyNumberFormat="1" applyBorder="1" applyProtection="1">
      <alignment/>
      <protection locked="0"/>
    </xf>
    <xf numFmtId="183" fontId="46" fillId="0" borderId="106" xfId="112" applyNumberFormat="1" applyFont="1" applyBorder="1" applyAlignment="1">
      <alignment vertical="center"/>
      <protection/>
    </xf>
    <xf numFmtId="0" fontId="76" fillId="0" borderId="110" xfId="113" applyBorder="1">
      <alignment/>
      <protection/>
    </xf>
    <xf numFmtId="3" fontId="76" fillId="0" borderId="120" xfId="113" applyNumberFormat="1" applyBorder="1">
      <alignment/>
      <protection/>
    </xf>
    <xf numFmtId="184" fontId="46" fillId="0" borderId="106" xfId="112" applyNumberFormat="1" applyFont="1" applyBorder="1" applyAlignment="1">
      <alignment vertical="center"/>
      <protection/>
    </xf>
    <xf numFmtId="183" fontId="46" fillId="0" borderId="107" xfId="112" applyNumberFormat="1" applyFont="1" applyBorder="1" applyAlignment="1">
      <alignment vertical="center"/>
      <protection/>
    </xf>
    <xf numFmtId="0" fontId="114" fillId="0" borderId="0" xfId="113" applyFont="1">
      <alignment/>
      <protection/>
    </xf>
    <xf numFmtId="3" fontId="76" fillId="52" borderId="0" xfId="102" applyNumberFormat="1" applyFont="1" applyFill="1">
      <alignment/>
      <protection/>
    </xf>
    <xf numFmtId="0" fontId="11" fillId="0" borderId="0" xfId="99">
      <alignment/>
      <protection/>
    </xf>
    <xf numFmtId="0" fontId="87" fillId="0" borderId="24" xfId="99" applyFont="1" applyBorder="1" applyAlignment="1">
      <alignment horizontal="center" vertical="center" wrapText="1"/>
      <protection/>
    </xf>
    <xf numFmtId="0" fontId="19" fillId="0" borderId="24" xfId="99" applyFont="1" applyBorder="1" applyAlignment="1">
      <alignment horizontal="left" vertical="top" wrapText="1"/>
      <protection/>
    </xf>
    <xf numFmtId="3" fontId="19" fillId="0" borderId="24" xfId="0" applyNumberFormat="1" applyFont="1" applyBorder="1" applyAlignment="1">
      <alignment horizontal="right" vertical="top" wrapText="1"/>
    </xf>
    <xf numFmtId="3" fontId="19" fillId="0" borderId="24" xfId="99" applyNumberFormat="1" applyFont="1" applyBorder="1" applyAlignment="1">
      <alignment horizontal="right" vertical="top" wrapText="1"/>
      <protection/>
    </xf>
    <xf numFmtId="3" fontId="19" fillId="0" borderId="24" xfId="97" applyNumberFormat="1" applyFont="1" applyBorder="1" applyAlignment="1">
      <alignment horizontal="right" vertical="top" wrapText="1"/>
      <protection/>
    </xf>
    <xf numFmtId="0" fontId="87" fillId="0" borderId="24" xfId="99" applyFont="1" applyBorder="1" applyAlignment="1">
      <alignment horizontal="left" vertical="top" wrapText="1"/>
      <protection/>
    </xf>
    <xf numFmtId="3" fontId="87" fillId="0" borderId="24" xfId="0" applyNumberFormat="1" applyFont="1" applyBorder="1" applyAlignment="1">
      <alignment horizontal="right" vertical="top" wrapText="1"/>
    </xf>
    <xf numFmtId="3" fontId="87" fillId="0" borderId="24" xfId="99" applyNumberFormat="1" applyFont="1" applyBorder="1" applyAlignment="1">
      <alignment horizontal="right" vertical="top" wrapText="1"/>
      <protection/>
    </xf>
    <xf numFmtId="3" fontId="87" fillId="0" borderId="24" xfId="97" applyNumberFormat="1" applyFont="1" applyBorder="1" applyAlignment="1">
      <alignment horizontal="right" vertical="top" wrapText="1"/>
      <protection/>
    </xf>
    <xf numFmtId="0" fontId="71" fillId="0" borderId="0" xfId="113" applyFont="1" applyAlignment="1">
      <alignment horizontal="center"/>
      <protection/>
    </xf>
    <xf numFmtId="0" fontId="116" fillId="0" borderId="121" xfId="113" applyFont="1" applyBorder="1" applyAlignment="1">
      <alignment horizontal="center" vertical="center" wrapText="1"/>
      <protection/>
    </xf>
    <xf numFmtId="0" fontId="116" fillId="0" borderId="122" xfId="113" applyFont="1" applyBorder="1" applyAlignment="1">
      <alignment horizontal="center" vertical="center" wrapText="1"/>
      <protection/>
    </xf>
    <xf numFmtId="0" fontId="76" fillId="0" borderId="0" xfId="113" applyAlignment="1">
      <alignment horizontal="center" vertical="center"/>
      <protection/>
    </xf>
    <xf numFmtId="0" fontId="115" fillId="0" borderId="123" xfId="113" applyFont="1" applyBorder="1" applyAlignment="1">
      <alignment vertical="center" wrapText="1"/>
      <protection/>
    </xf>
    <xf numFmtId="180" fontId="28" fillId="0" borderId="124" xfId="112" applyNumberFormat="1" applyFont="1" applyBorder="1" applyAlignment="1">
      <alignment horizontal="center" vertical="center"/>
      <protection/>
    </xf>
    <xf numFmtId="0" fontId="76" fillId="0" borderId="0" xfId="113" applyAlignment="1">
      <alignment vertical="center"/>
      <protection/>
    </xf>
    <xf numFmtId="0" fontId="117" fillId="0" borderId="108" xfId="113" applyFont="1" applyBorder="1" applyAlignment="1">
      <alignment horizontal="left" vertical="center" wrapText="1" indent="1"/>
      <protection/>
    </xf>
    <xf numFmtId="181" fontId="71" fillId="0" borderId="111" xfId="113" applyNumberFormat="1" applyFont="1" applyBorder="1" applyAlignment="1" applyProtection="1">
      <alignment horizontal="right" vertical="center" wrapText="1"/>
      <protection locked="0"/>
    </xf>
    <xf numFmtId="0" fontId="115" fillId="0" borderId="108" xfId="113" applyFont="1" applyBorder="1" applyAlignment="1">
      <alignment vertical="center" wrapText="1"/>
      <protection/>
    </xf>
    <xf numFmtId="180" fontId="28" fillId="0" borderId="111" xfId="112" applyNumberFormat="1" applyFont="1" applyBorder="1" applyAlignment="1">
      <alignment horizontal="center" vertical="center"/>
      <protection/>
    </xf>
    <xf numFmtId="181" fontId="115" fillId="0" borderId="111" xfId="113" applyNumberFormat="1" applyFont="1" applyBorder="1" applyAlignment="1">
      <alignment horizontal="right" vertical="center" wrapText="1"/>
      <protection/>
    </xf>
    <xf numFmtId="181" fontId="71" fillId="0" borderId="111" xfId="113" applyNumberFormat="1" applyFont="1" applyBorder="1" applyAlignment="1">
      <alignment horizontal="right" vertical="center" wrapText="1"/>
      <protection/>
    </xf>
    <xf numFmtId="181" fontId="115" fillId="0" borderId="111" xfId="113" applyNumberFormat="1" applyFont="1" applyBorder="1" applyAlignment="1" applyProtection="1">
      <alignment horizontal="right" vertical="center" wrapText="1"/>
      <protection locked="0"/>
    </xf>
    <xf numFmtId="181" fontId="115" fillId="53" borderId="111" xfId="113" applyNumberFormat="1" applyFont="1" applyFill="1" applyBorder="1" applyAlignment="1" applyProtection="1">
      <alignment horizontal="right" vertical="center" wrapText="1"/>
      <protection locked="0"/>
    </xf>
    <xf numFmtId="181" fontId="115" fillId="53" borderId="111" xfId="113" applyNumberFormat="1" applyFont="1" applyFill="1" applyBorder="1" applyAlignment="1">
      <alignment horizontal="right" vertical="center" wrapText="1"/>
      <protection/>
    </xf>
    <xf numFmtId="0" fontId="115" fillId="0" borderId="121" xfId="113" applyFont="1" applyBorder="1" applyAlignment="1">
      <alignment vertical="center" wrapText="1"/>
      <protection/>
    </xf>
    <xf numFmtId="0" fontId="71" fillId="0" borderId="0" xfId="113" applyFont="1">
      <alignment/>
      <protection/>
    </xf>
    <xf numFmtId="181" fontId="71" fillId="0" borderId="0" xfId="113" applyNumberFormat="1" applyFont="1">
      <alignment/>
      <protection/>
    </xf>
    <xf numFmtId="49" fontId="53" fillId="0" borderId="23" xfId="112" applyNumberFormat="1" applyFont="1" applyBorder="1" applyAlignment="1">
      <alignment horizontal="center" vertical="center" wrapText="1"/>
      <protection/>
    </xf>
    <xf numFmtId="49" fontId="53" fillId="0" borderId="20" xfId="112" applyNumberFormat="1" applyFont="1" applyBorder="1" applyAlignment="1">
      <alignment horizontal="center" vertical="center"/>
      <protection/>
    </xf>
    <xf numFmtId="49" fontId="53" fillId="0" borderId="21" xfId="112" applyNumberFormat="1" applyFont="1" applyBorder="1" applyAlignment="1">
      <alignment horizontal="center" vertical="center"/>
      <protection/>
    </xf>
    <xf numFmtId="0" fontId="54" fillId="0" borderId="19" xfId="113" applyFont="1" applyBorder="1" applyAlignment="1">
      <alignment vertical="center" wrapText="1"/>
      <protection/>
    </xf>
    <xf numFmtId="180" fontId="45" fillId="0" borderId="42" xfId="112" applyNumberFormat="1" applyFont="1" applyBorder="1" applyAlignment="1">
      <alignment horizontal="center" vertical="center"/>
      <protection/>
    </xf>
    <xf numFmtId="182" fontId="45" fillId="0" borderId="57" xfId="112" applyNumberFormat="1" applyFont="1" applyBorder="1" applyAlignment="1" applyProtection="1">
      <alignment vertical="center"/>
      <protection locked="0"/>
    </xf>
    <xf numFmtId="180" fontId="45" fillId="0" borderId="24" xfId="112" applyNumberFormat="1" applyFont="1" applyBorder="1" applyAlignment="1">
      <alignment horizontal="center" vertical="center"/>
      <protection/>
    </xf>
    <xf numFmtId="182" fontId="45" fillId="0" borderId="25" xfId="112" applyNumberFormat="1" applyFont="1" applyBorder="1" applyAlignment="1" applyProtection="1">
      <alignment vertical="center"/>
      <protection locked="0"/>
    </xf>
    <xf numFmtId="180" fontId="53" fillId="0" borderId="24" xfId="112" applyNumberFormat="1" applyFont="1" applyBorder="1" applyAlignment="1">
      <alignment horizontal="center" vertical="center"/>
      <protection/>
    </xf>
    <xf numFmtId="182" fontId="53" fillId="0" borderId="25" xfId="112" applyNumberFormat="1" applyFont="1" applyBorder="1" applyAlignment="1">
      <alignment vertical="center"/>
      <protection/>
    </xf>
    <xf numFmtId="182" fontId="45" fillId="0" borderId="25" xfId="112" applyNumberFormat="1" applyFont="1" applyBorder="1" applyAlignment="1" applyProtection="1">
      <alignment vertical="center"/>
      <protection locked="0"/>
    </xf>
    <xf numFmtId="182" fontId="53" fillId="0" borderId="25" xfId="112" applyNumberFormat="1" applyFont="1" applyBorder="1" applyAlignment="1" applyProtection="1">
      <alignment vertical="center"/>
      <protection locked="0"/>
    </xf>
    <xf numFmtId="0" fontId="53" fillId="0" borderId="23" xfId="112" applyFont="1" applyBorder="1" applyAlignment="1">
      <alignment horizontal="left" vertical="center" wrapText="1"/>
      <protection/>
    </xf>
    <xf numFmtId="180" fontId="53" fillId="0" borderId="20" xfId="112" applyNumberFormat="1" applyFont="1" applyBorder="1" applyAlignment="1">
      <alignment horizontal="center" vertical="center"/>
      <protection/>
    </xf>
    <xf numFmtId="182" fontId="53" fillId="0" borderId="21" xfId="112" applyNumberFormat="1" applyFont="1" applyBorder="1" applyAlignment="1">
      <alignment vertical="center"/>
      <protection/>
    </xf>
    <xf numFmtId="0" fontId="118" fillId="0" borderId="121" xfId="113" applyFont="1" applyBorder="1" applyAlignment="1">
      <alignment horizontal="center" vertical="center" wrapText="1"/>
      <protection/>
    </xf>
    <xf numFmtId="0" fontId="118" fillId="0" borderId="122" xfId="113" applyFont="1" applyBorder="1" applyAlignment="1">
      <alignment horizontal="center" vertical="center" wrapText="1"/>
      <protection/>
    </xf>
    <xf numFmtId="0" fontId="69" fillId="0" borderId="123" xfId="113" applyFont="1" applyBorder="1" applyAlignment="1">
      <alignment vertical="center" wrapText="1"/>
      <protection/>
    </xf>
    <xf numFmtId="180" fontId="46" fillId="0" borderId="124" xfId="112" applyNumberFormat="1" applyFont="1" applyBorder="1" applyAlignment="1">
      <alignment horizontal="center" vertical="center"/>
      <protection/>
    </xf>
    <xf numFmtId="181" fontId="69" fillId="0" borderId="124" xfId="113" applyNumberFormat="1" applyFont="1" applyBorder="1" applyAlignment="1" applyProtection="1">
      <alignment horizontal="right" vertical="center" wrapText="1"/>
      <protection locked="0"/>
    </xf>
    <xf numFmtId="0" fontId="119" fillId="0" borderId="108" xfId="113" applyFont="1" applyBorder="1" applyAlignment="1">
      <alignment horizontal="left" vertical="center" wrapText="1" indent="1"/>
      <protection/>
    </xf>
    <xf numFmtId="180" fontId="30" fillId="0" borderId="111" xfId="112" applyNumberFormat="1" applyFont="1" applyBorder="1" applyAlignment="1">
      <alignment horizontal="center" vertical="center"/>
      <protection/>
    </xf>
    <xf numFmtId="181" fontId="76" fillId="0" borderId="111" xfId="113" applyNumberFormat="1" applyBorder="1" applyAlignment="1" applyProtection="1">
      <alignment horizontal="right" vertical="center" wrapText="1"/>
      <protection locked="0"/>
    </xf>
    <xf numFmtId="0" fontId="69" fillId="0" borderId="108" xfId="113" applyFont="1" applyBorder="1" applyAlignment="1">
      <alignment vertical="center" wrapText="1"/>
      <protection/>
    </xf>
    <xf numFmtId="180" fontId="46" fillId="0" borderId="111" xfId="112" applyNumberFormat="1" applyFont="1" applyBorder="1" applyAlignment="1">
      <alignment horizontal="center" vertical="center"/>
      <protection/>
    </xf>
    <xf numFmtId="181" fontId="69" fillId="0" borderId="111" xfId="113" applyNumberFormat="1" applyFont="1" applyBorder="1" applyAlignment="1">
      <alignment horizontal="right" vertical="center" wrapText="1"/>
      <protection/>
    </xf>
    <xf numFmtId="181" fontId="69" fillId="0" borderId="111" xfId="113" applyNumberFormat="1" applyFont="1" applyBorder="1" applyAlignment="1">
      <alignment horizontal="right" vertical="center" wrapText="1"/>
      <protection/>
    </xf>
    <xf numFmtId="181" fontId="76" fillId="0" borderId="111" xfId="113" applyNumberFormat="1" applyBorder="1" applyAlignment="1">
      <alignment horizontal="right" vertical="center" wrapText="1"/>
      <protection/>
    </xf>
    <xf numFmtId="181" fontId="69" fillId="0" borderId="111" xfId="113" applyNumberFormat="1" applyFont="1" applyBorder="1" applyAlignment="1" applyProtection="1">
      <alignment horizontal="right" vertical="center" wrapText="1"/>
      <protection locked="0"/>
    </xf>
    <xf numFmtId="181" fontId="69" fillId="53" borderId="111" xfId="113" applyNumberFormat="1" applyFont="1" applyFill="1" applyBorder="1" applyAlignment="1" applyProtection="1">
      <alignment horizontal="right" vertical="center" wrapText="1"/>
      <protection locked="0"/>
    </xf>
    <xf numFmtId="181" fontId="69" fillId="53" borderId="111" xfId="113" applyNumberFormat="1" applyFont="1" applyFill="1" applyBorder="1" applyAlignment="1">
      <alignment horizontal="right" vertical="center" wrapText="1"/>
      <protection/>
    </xf>
    <xf numFmtId="0" fontId="69" fillId="0" borderId="121" xfId="113" applyFont="1" applyBorder="1" applyAlignment="1">
      <alignment vertical="center" wrapText="1"/>
      <protection/>
    </xf>
    <xf numFmtId="181" fontId="69" fillId="0" borderId="122" xfId="113" applyNumberFormat="1" applyFont="1" applyBorder="1" applyAlignment="1">
      <alignment horizontal="right" vertical="center" wrapText="1"/>
      <protection/>
    </xf>
    <xf numFmtId="0" fontId="120" fillId="0" borderId="0" xfId="113" applyFont="1">
      <alignment/>
      <protection/>
    </xf>
    <xf numFmtId="0" fontId="1" fillId="0" borderId="0" xfId="106">
      <alignment/>
      <protection/>
    </xf>
    <xf numFmtId="0" fontId="1" fillId="0" borderId="0" xfId="106" applyAlignment="1">
      <alignment wrapText="1"/>
      <protection/>
    </xf>
    <xf numFmtId="0" fontId="121" fillId="0" borderId="0" xfId="106" applyFont="1" applyAlignment="1">
      <alignment horizontal="right"/>
      <protection/>
    </xf>
    <xf numFmtId="0" fontId="85" fillId="0" borderId="0" xfId="106" applyFont="1" applyAlignment="1">
      <alignment horizontal="center"/>
      <protection/>
    </xf>
    <xf numFmtId="169" fontId="1" fillId="0" borderId="0" xfId="106" applyNumberFormat="1" applyAlignment="1">
      <alignment vertical="center" wrapText="1"/>
      <protection/>
    </xf>
    <xf numFmtId="169" fontId="27" fillId="0" borderId="30" xfId="106" applyNumberFormat="1" applyFont="1" applyBorder="1" applyAlignment="1">
      <alignment horizontal="center"/>
      <protection/>
    </xf>
    <xf numFmtId="169" fontId="27" fillId="0" borderId="30" xfId="106" applyNumberFormat="1" applyFont="1" applyBorder="1" applyAlignment="1">
      <alignment horizontal="center" wrapText="1"/>
      <protection/>
    </xf>
    <xf numFmtId="169" fontId="27" fillId="0" borderId="50" xfId="106" applyNumberFormat="1" applyFont="1" applyBorder="1" applyAlignment="1">
      <alignment horizontal="center" vertical="center" wrapText="1"/>
      <protection/>
    </xf>
    <xf numFmtId="169" fontId="27" fillId="0" borderId="50" xfId="106" applyNumberFormat="1" applyFont="1" applyBorder="1" applyAlignment="1">
      <alignment horizontal="center" vertical="center"/>
      <protection/>
    </xf>
    <xf numFmtId="169" fontId="28" fillId="0" borderId="32" xfId="106" applyNumberFormat="1" applyFont="1" applyBorder="1" applyAlignment="1">
      <alignment horizontal="center" vertical="center" wrapText="1"/>
      <protection/>
    </xf>
    <xf numFmtId="169" fontId="27" fillId="0" borderId="27" xfId="106" applyNumberFormat="1" applyFont="1" applyBorder="1" applyAlignment="1">
      <alignment vertical="center" wrapText="1"/>
      <protection/>
    </xf>
    <xf numFmtId="169" fontId="1" fillId="54" borderId="27" xfId="106" applyNumberFormat="1" applyFill="1" applyBorder="1" applyAlignment="1">
      <alignment vertical="center" wrapText="1"/>
      <protection/>
    </xf>
    <xf numFmtId="169" fontId="1" fillId="0" borderId="45" xfId="106" applyNumberFormat="1" applyBorder="1" applyAlignment="1">
      <alignment vertical="center" wrapText="1"/>
      <protection/>
    </xf>
    <xf numFmtId="169" fontId="28" fillId="0" borderId="33" xfId="106" applyNumberFormat="1" applyFont="1" applyBorder="1" applyAlignment="1">
      <alignment horizontal="center" vertical="center" wrapText="1"/>
      <protection/>
    </xf>
    <xf numFmtId="169" fontId="29" fillId="0" borderId="27" xfId="106" applyNumberFormat="1" applyFont="1" applyBorder="1" applyAlignment="1" applyProtection="1">
      <alignment vertical="center" wrapText="1"/>
      <protection locked="0"/>
    </xf>
    <xf numFmtId="0" fontId="66" fillId="0" borderId="27" xfId="106" applyFont="1" applyBorder="1" applyAlignment="1">
      <alignment horizontal="center" vertical="center" wrapText="1"/>
      <protection/>
    </xf>
    <xf numFmtId="171" fontId="1" fillId="0" borderId="27" xfId="106" applyNumberFormat="1" applyBorder="1" applyAlignment="1" applyProtection="1">
      <alignment vertical="center" wrapText="1"/>
      <protection locked="0"/>
    </xf>
    <xf numFmtId="169" fontId="1" fillId="0" borderId="25" xfId="106" applyNumberFormat="1" applyBorder="1" applyAlignment="1" applyProtection="1">
      <alignment vertical="center" wrapText="1"/>
      <protection locked="0"/>
    </xf>
    <xf numFmtId="3" fontId="6" fillId="0" borderId="45" xfId="106" applyNumberFormat="1" applyFont="1" applyBorder="1" applyAlignment="1">
      <alignment vertical="center" wrapText="1"/>
      <protection/>
    </xf>
    <xf numFmtId="169" fontId="28" fillId="0" borderId="22" xfId="106" applyNumberFormat="1" applyFont="1" applyBorder="1" applyAlignment="1">
      <alignment horizontal="center" vertical="center" wrapText="1"/>
      <protection/>
    </xf>
    <xf numFmtId="169" fontId="29" fillId="0" borderId="24" xfId="106" applyNumberFormat="1" applyFont="1" applyBorder="1" applyAlignment="1" applyProtection="1">
      <alignment vertical="center" wrapText="1"/>
      <protection locked="0"/>
    </xf>
    <xf numFmtId="14" fontId="1" fillId="0" borderId="24" xfId="106" applyNumberFormat="1" applyBorder="1" applyAlignment="1" applyProtection="1">
      <alignment vertical="center" wrapText="1"/>
      <protection locked="0"/>
    </xf>
    <xf numFmtId="3" fontId="94" fillId="0" borderId="25" xfId="106" applyNumberFormat="1" applyFont="1" applyBorder="1" applyAlignment="1" applyProtection="1">
      <alignment vertical="center" wrapText="1"/>
      <protection locked="0"/>
    </xf>
    <xf numFmtId="169" fontId="28" fillId="0" borderId="35" xfId="106" applyNumberFormat="1" applyFont="1" applyBorder="1" applyAlignment="1">
      <alignment horizontal="center" vertical="center" wrapText="1"/>
      <protection/>
    </xf>
    <xf numFmtId="3" fontId="1" fillId="0" borderId="25" xfId="106" applyNumberFormat="1" applyBorder="1" applyAlignment="1" applyProtection="1">
      <alignment vertical="center" wrapText="1"/>
      <protection locked="0"/>
    </xf>
    <xf numFmtId="14" fontId="1" fillId="0" borderId="28" xfId="106" applyNumberFormat="1" applyBorder="1" applyAlignment="1" applyProtection="1">
      <alignment vertical="center" wrapText="1"/>
      <protection locked="0"/>
    </xf>
    <xf numFmtId="3" fontId="1" fillId="0" borderId="58" xfId="106" applyNumberFormat="1" applyBorder="1" applyAlignment="1" applyProtection="1">
      <alignment vertical="center" wrapText="1"/>
      <protection locked="0"/>
    </xf>
    <xf numFmtId="169" fontId="28" fillId="0" borderId="41" xfId="106" applyNumberFormat="1" applyFont="1" applyBorder="1" applyAlignment="1">
      <alignment horizontal="center" vertical="center" wrapText="1"/>
      <protection/>
    </xf>
    <xf numFmtId="169" fontId="29" fillId="0" borderId="74" xfId="106" applyNumberFormat="1" applyFont="1" applyBorder="1" applyAlignment="1" applyProtection="1">
      <alignment vertical="center" wrapText="1"/>
      <protection locked="0"/>
    </xf>
    <xf numFmtId="14" fontId="1" fillId="0" borderId="20" xfId="106" applyNumberFormat="1" applyBorder="1" applyAlignment="1" applyProtection="1">
      <alignment vertical="center" wrapText="1"/>
      <protection locked="0"/>
    </xf>
    <xf numFmtId="3" fontId="1" fillId="0" borderId="21" xfId="106" applyNumberFormat="1" applyBorder="1" applyAlignment="1" applyProtection="1">
      <alignment vertical="center" wrapText="1"/>
      <protection locked="0"/>
    </xf>
    <xf numFmtId="169" fontId="46" fillId="0" borderId="27" xfId="106" applyNumberFormat="1" applyFont="1" applyBorder="1" applyAlignment="1">
      <alignment vertical="center" wrapText="1"/>
      <protection/>
    </xf>
    <xf numFmtId="0" fontId="0" fillId="52" borderId="0" xfId="97" applyFill="1">
      <alignment/>
      <protection/>
    </xf>
    <xf numFmtId="0" fontId="28" fillId="52" borderId="22" xfId="97" applyFont="1" applyFill="1" applyBorder="1" applyAlignment="1">
      <alignment horizontal="center" vertical="center"/>
      <protection/>
    </xf>
    <xf numFmtId="0" fontId="0" fillId="52" borderId="19" xfId="97" applyFill="1" applyBorder="1" applyAlignment="1">
      <alignment vertical="center"/>
      <protection/>
    </xf>
    <xf numFmtId="0" fontId="0" fillId="0" borderId="0" xfId="103">
      <alignment/>
      <protection/>
    </xf>
    <xf numFmtId="0" fontId="27" fillId="0" borderId="0" xfId="103" applyFont="1" applyAlignment="1">
      <alignment horizontal="center"/>
      <protection/>
    </xf>
    <xf numFmtId="0" fontId="44" fillId="0" borderId="0" xfId="103" applyFont="1" applyAlignment="1">
      <alignment horizontal="right"/>
      <protection/>
    </xf>
    <xf numFmtId="0" fontId="28" fillId="0" borderId="44" xfId="103" applyFont="1" applyBorder="1" applyAlignment="1">
      <alignment horizontal="center" vertical="center" wrapText="1"/>
      <protection/>
    </xf>
    <xf numFmtId="0" fontId="27" fillId="0" borderId="27" xfId="103" applyFont="1" applyBorder="1" applyAlignment="1">
      <alignment horizontal="center" vertical="center"/>
      <protection/>
    </xf>
    <xf numFmtId="0" fontId="27" fillId="0" borderId="45" xfId="103" applyFont="1" applyBorder="1" applyAlignment="1">
      <alignment horizontal="center" vertical="center" wrapText="1"/>
      <protection/>
    </xf>
    <xf numFmtId="0" fontId="0" fillId="0" borderId="26" xfId="103" applyBorder="1" applyAlignment="1">
      <alignment horizontal="center" vertical="center"/>
      <protection/>
    </xf>
    <xf numFmtId="0" fontId="0" fillId="0" borderId="42" xfId="103" applyBorder="1" applyAlignment="1" applyProtection="1">
      <alignment horizontal="left" vertical="center" wrapText="1" indent="1"/>
      <protection locked="0"/>
    </xf>
    <xf numFmtId="179" fontId="49" fillId="0" borderId="46" xfId="103" applyNumberFormat="1" applyFont="1" applyBorder="1" applyAlignment="1">
      <alignment horizontal="right" vertical="center"/>
      <protection/>
    </xf>
    <xf numFmtId="3" fontId="0" fillId="0" borderId="0" xfId="103" applyNumberFormat="1">
      <alignment/>
      <protection/>
    </xf>
    <xf numFmtId="0" fontId="0" fillId="0" borderId="19" xfId="103" applyBorder="1" applyAlignment="1">
      <alignment horizontal="center" vertical="center"/>
      <protection/>
    </xf>
    <xf numFmtId="0" fontId="122" fillId="0" borderId="24" xfId="103" applyFont="1" applyBorder="1" applyAlignment="1">
      <alignment horizontal="left" vertical="center" indent="5"/>
      <protection/>
    </xf>
    <xf numFmtId="179" fontId="52" fillId="0" borderId="25" xfId="103" applyNumberFormat="1" applyFont="1" applyBorder="1" applyAlignment="1" applyProtection="1">
      <alignment horizontal="right" vertical="center"/>
      <protection locked="0"/>
    </xf>
    <xf numFmtId="179" fontId="0" fillId="0" borderId="0" xfId="103" applyNumberFormat="1">
      <alignment/>
      <protection/>
    </xf>
    <xf numFmtId="179" fontId="52" fillId="0" borderId="58" xfId="103" applyNumberFormat="1" applyFont="1" applyBorder="1" applyAlignment="1" applyProtection="1">
      <alignment horizontal="right" vertical="center"/>
      <protection locked="0"/>
    </xf>
    <xf numFmtId="0" fontId="0" fillId="0" borderId="29" xfId="103" applyBorder="1" applyAlignment="1">
      <alignment horizontal="center" vertical="center"/>
      <protection/>
    </xf>
    <xf numFmtId="179" fontId="52" fillId="0" borderId="21" xfId="103" applyNumberFormat="1" applyFont="1" applyBorder="1" applyAlignment="1" applyProtection="1">
      <alignment horizontal="right" vertical="center"/>
      <protection locked="0"/>
    </xf>
    <xf numFmtId="0" fontId="0" fillId="0" borderId="22" xfId="103" applyBorder="1" applyAlignment="1">
      <alignment horizontal="center" vertical="center"/>
      <protection/>
    </xf>
    <xf numFmtId="0" fontId="0" fillId="0" borderId="30" xfId="103" applyBorder="1" applyAlignment="1" applyProtection="1">
      <alignment horizontal="left" vertical="center" wrapText="1" indent="1"/>
      <protection locked="0"/>
    </xf>
    <xf numFmtId="0" fontId="0" fillId="0" borderId="23" xfId="103" applyBorder="1" applyAlignment="1">
      <alignment horizontal="center" vertical="center"/>
      <protection/>
    </xf>
    <xf numFmtId="0" fontId="122" fillId="0" borderId="20" xfId="103" applyFont="1" applyBorder="1" applyAlignment="1">
      <alignment horizontal="left" vertical="center" indent="5"/>
      <protection/>
    </xf>
    <xf numFmtId="10" fontId="30" fillId="0" borderId="46" xfId="122" applyNumberFormat="1" applyFont="1" applyBorder="1" applyAlignment="1" applyProtection="1">
      <alignment vertical="center"/>
      <protection locked="0"/>
    </xf>
    <xf numFmtId="10" fontId="30" fillId="0" borderId="57" xfId="122" applyNumberFormat="1" applyFont="1" applyBorder="1" applyAlignment="1" applyProtection="1">
      <alignment vertical="center"/>
      <protection locked="0"/>
    </xf>
    <xf numFmtId="10" fontId="30" fillId="0" borderId="25" xfId="122" applyNumberFormat="1" applyFont="1" applyBorder="1" applyAlignment="1" applyProtection="1">
      <alignment vertical="center"/>
      <protection locked="0"/>
    </xf>
    <xf numFmtId="10" fontId="30" fillId="0" borderId="58" xfId="122" applyNumberFormat="1" applyFont="1" applyBorder="1" applyAlignment="1" applyProtection="1">
      <alignment vertical="center"/>
      <protection locked="0"/>
    </xf>
    <xf numFmtId="10" fontId="46" fillId="0" borderId="45" xfId="122" applyNumberFormat="1" applyFont="1" applyBorder="1" applyAlignment="1">
      <alignment vertical="center"/>
    </xf>
    <xf numFmtId="0" fontId="6" fillId="0" borderId="23" xfId="0" applyFont="1" applyBorder="1" applyAlignment="1">
      <alignment/>
    </xf>
    <xf numFmtId="181" fontId="71" fillId="51" borderId="111" xfId="11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102" applyFont="1">
      <alignment/>
      <protection/>
    </xf>
    <xf numFmtId="0" fontId="76" fillId="0" borderId="0" xfId="113" applyFont="1">
      <alignment/>
      <protection/>
    </xf>
    <xf numFmtId="0" fontId="76" fillId="0" borderId="0" xfId="113" applyFont="1" applyAlignment="1">
      <alignment horizontal="center" vertical="center"/>
      <protection/>
    </xf>
    <xf numFmtId="181" fontId="115" fillId="0" borderId="124" xfId="113" applyNumberFormat="1" applyFont="1" applyBorder="1" applyAlignment="1" applyProtection="1">
      <alignment horizontal="right" vertical="center" wrapText="1"/>
      <protection locked="0"/>
    </xf>
    <xf numFmtId="0" fontId="76" fillId="0" borderId="0" xfId="113" applyFont="1" applyAlignment="1">
      <alignment vertical="center"/>
      <protection/>
    </xf>
    <xf numFmtId="180" fontId="59" fillId="0" borderId="111" xfId="112" applyNumberFormat="1" applyFont="1" applyBorder="1" applyAlignment="1">
      <alignment horizontal="center" vertical="center"/>
      <protection/>
    </xf>
    <xf numFmtId="181" fontId="115" fillId="0" borderId="122" xfId="113" applyNumberFormat="1" applyFont="1" applyBorder="1" applyAlignment="1">
      <alignment horizontal="right" vertical="center" wrapText="1"/>
      <protection/>
    </xf>
    <xf numFmtId="3" fontId="76" fillId="0" borderId="0" xfId="113" applyNumberFormat="1" applyFont="1">
      <alignment/>
      <protection/>
    </xf>
    <xf numFmtId="0" fontId="11" fillId="0" borderId="24" xfId="99" applyFont="1" applyFill="1" applyBorder="1">
      <alignment/>
      <protection/>
    </xf>
    <xf numFmtId="0" fontId="11" fillId="0" borderId="24" xfId="99" applyFont="1" applyFill="1" applyBorder="1" applyAlignment="1">
      <alignment horizontal="center" vertical="top" wrapText="1"/>
      <protection/>
    </xf>
    <xf numFmtId="0" fontId="11" fillId="0" borderId="24" xfId="99" applyFont="1" applyFill="1" applyBorder="1" applyAlignment="1">
      <alignment horizontal="left" vertical="top" wrapText="1"/>
      <protection/>
    </xf>
    <xf numFmtId="3" fontId="11" fillId="0" borderId="24" xfId="99" applyNumberFormat="1" applyFont="1" applyFill="1" applyBorder="1" applyAlignment="1">
      <alignment horizontal="right" vertical="top" wrapText="1"/>
      <protection/>
    </xf>
    <xf numFmtId="3" fontId="11" fillId="0" borderId="24" xfId="0" applyNumberFormat="1" applyFont="1" applyFill="1" applyBorder="1" applyAlignment="1">
      <alignment horizontal="right" vertical="top" wrapText="1"/>
    </xf>
    <xf numFmtId="0" fontId="13" fillId="0" borderId="24" xfId="99" applyFont="1" applyFill="1" applyBorder="1" applyAlignment="1">
      <alignment horizontal="left" vertical="top" wrapText="1"/>
      <protection/>
    </xf>
    <xf numFmtId="3" fontId="13" fillId="0" borderId="24" xfId="99" applyNumberFormat="1" applyFont="1" applyFill="1" applyBorder="1" applyAlignment="1">
      <alignment horizontal="right" vertical="top" wrapText="1"/>
      <protection/>
    </xf>
    <xf numFmtId="3" fontId="13" fillId="0" borderId="24" xfId="0" applyNumberFormat="1" applyFont="1" applyFill="1" applyBorder="1" applyAlignment="1">
      <alignment horizontal="right" vertical="top" wrapText="1"/>
    </xf>
    <xf numFmtId="169" fontId="59" fillId="0" borderId="0" xfId="100" applyNumberFormat="1" applyFont="1" applyAlignment="1">
      <alignment vertical="center" wrapText="1"/>
      <protection/>
    </xf>
    <xf numFmtId="169" fontId="59" fillId="0" borderId="0" xfId="100" applyNumberFormat="1" applyFont="1" applyAlignment="1">
      <alignment horizontal="center" vertical="center" wrapText="1"/>
      <protection/>
    </xf>
    <xf numFmtId="169" fontId="31" fillId="0" borderId="0" xfId="100" applyNumberFormat="1" applyFont="1" applyAlignment="1">
      <alignment horizontal="right"/>
      <protection/>
    </xf>
    <xf numFmtId="169" fontId="27" fillId="0" borderId="0" xfId="100" applyNumberFormat="1" applyFont="1" applyAlignment="1">
      <alignment vertical="center"/>
      <protection/>
    </xf>
    <xf numFmtId="169" fontId="49" fillId="0" borderId="72" xfId="100" applyNumberFormat="1" applyFont="1" applyBorder="1" applyAlignment="1">
      <alignment horizontal="center" vertical="center"/>
      <protection/>
    </xf>
    <xf numFmtId="169" fontId="49" fillId="0" borderId="21" xfId="100" applyNumberFormat="1" applyFont="1" applyBorder="1" applyAlignment="1">
      <alignment horizontal="center" vertical="center" wrapText="1"/>
      <protection/>
    </xf>
    <xf numFmtId="169" fontId="27" fillId="0" borderId="0" xfId="100" applyNumberFormat="1" applyFont="1" applyAlignment="1">
      <alignment horizontal="center" vertical="center"/>
      <protection/>
    </xf>
    <xf numFmtId="169" fontId="53" fillId="0" borderId="32" xfId="100" applyNumberFormat="1" applyFont="1" applyBorder="1" applyAlignment="1">
      <alignment horizontal="center" vertical="center" wrapText="1"/>
      <protection/>
    </xf>
    <xf numFmtId="169" fontId="53" fillId="0" borderId="76" xfId="100" applyNumberFormat="1" applyFont="1" applyBorder="1" applyAlignment="1">
      <alignment horizontal="center" vertical="center" wrapText="1"/>
      <protection/>
    </xf>
    <xf numFmtId="169" fontId="53" fillId="0" borderId="59" xfId="100" applyNumberFormat="1" applyFont="1" applyBorder="1" applyAlignment="1">
      <alignment horizontal="center" vertical="center" wrapText="1"/>
      <protection/>
    </xf>
    <xf numFmtId="169" fontId="53" fillId="0" borderId="45" xfId="100" applyNumberFormat="1" applyFont="1" applyBorder="1" applyAlignment="1">
      <alignment horizontal="center" vertical="center" wrapText="1"/>
      <protection/>
    </xf>
    <xf numFmtId="169" fontId="53" fillId="0" borderId="78" xfId="100" applyNumberFormat="1" applyFont="1" applyBorder="1" applyAlignment="1">
      <alignment horizontal="center" vertical="center" wrapText="1"/>
      <protection/>
    </xf>
    <xf numFmtId="169" fontId="27" fillId="0" borderId="0" xfId="100" applyNumberFormat="1" applyFont="1" applyAlignment="1">
      <alignment horizontal="center" vertical="center" wrapText="1"/>
      <protection/>
    </xf>
    <xf numFmtId="49" fontId="123" fillId="0" borderId="27" xfId="100" applyNumberFormat="1" applyFont="1" applyBorder="1" applyAlignment="1" applyProtection="1">
      <alignment horizontal="center" vertical="center" wrapText="1"/>
      <protection locked="0"/>
    </xf>
    <xf numFmtId="169" fontId="123" fillId="0" borderId="76" xfId="100" applyNumberFormat="1" applyFont="1" applyBorder="1" applyAlignment="1">
      <alignment vertical="center" wrapText="1"/>
      <protection/>
    </xf>
    <xf numFmtId="169" fontId="123" fillId="0" borderId="44" xfId="100" applyNumberFormat="1" applyFont="1" applyBorder="1" applyAlignment="1">
      <alignment vertical="center" wrapText="1"/>
      <protection/>
    </xf>
    <xf numFmtId="169" fontId="123" fillId="0" borderId="27" xfId="100" applyNumberFormat="1" applyFont="1" applyBorder="1" applyAlignment="1">
      <alignment vertical="center" wrapText="1"/>
      <protection/>
    </xf>
    <xf numFmtId="169" fontId="123" fillId="0" borderId="45" xfId="100" applyNumberFormat="1" applyFont="1" applyBorder="1" applyAlignment="1">
      <alignment vertical="center" wrapText="1"/>
      <protection/>
    </xf>
    <xf numFmtId="169" fontId="45" fillId="0" borderId="76" xfId="100" applyNumberFormat="1" applyFont="1" applyBorder="1" applyAlignment="1">
      <alignment vertical="center" wrapText="1"/>
      <protection/>
    </xf>
    <xf numFmtId="169" fontId="45" fillId="0" borderId="77" xfId="100" applyNumberFormat="1" applyFont="1" applyBorder="1" applyAlignment="1" applyProtection="1">
      <alignment horizontal="left" vertical="center" wrapText="1" indent="1"/>
      <protection locked="0"/>
    </xf>
    <xf numFmtId="49" fontId="123" fillId="0" borderId="24" xfId="100" applyNumberFormat="1" applyFont="1" applyBorder="1" applyAlignment="1" applyProtection="1">
      <alignment horizontal="center" vertical="center" wrapText="1"/>
      <protection locked="0"/>
    </xf>
    <xf numFmtId="169" fontId="123" fillId="0" borderId="77" xfId="100" applyNumberFormat="1" applyFont="1" applyBorder="1" applyAlignment="1" applyProtection="1">
      <alignment vertical="center" wrapText="1"/>
      <protection locked="0"/>
    </xf>
    <xf numFmtId="169" fontId="123" fillId="0" borderId="19" xfId="100" applyNumberFormat="1" applyFont="1" applyBorder="1" applyAlignment="1" applyProtection="1">
      <alignment vertical="center" wrapText="1"/>
      <protection locked="0"/>
    </xf>
    <xf numFmtId="169" fontId="123" fillId="0" borderId="24" xfId="100" applyNumberFormat="1" applyFont="1" applyBorder="1" applyAlignment="1" applyProtection="1">
      <alignment vertical="center" wrapText="1"/>
      <protection locked="0"/>
    </xf>
    <xf numFmtId="169" fontId="123" fillId="0" borderId="25" xfId="100" applyNumberFormat="1" applyFont="1" applyBorder="1" applyAlignment="1" applyProtection="1">
      <alignment vertical="center" wrapText="1"/>
      <protection locked="0"/>
    </xf>
    <xf numFmtId="169" fontId="45" fillId="0" borderId="77" xfId="100" applyNumberFormat="1" applyFont="1" applyBorder="1" applyAlignment="1">
      <alignment vertical="center" wrapText="1"/>
      <protection/>
    </xf>
    <xf numFmtId="49" fontId="123" fillId="0" borderId="22" xfId="100" applyNumberFormat="1" applyFont="1" applyBorder="1" applyAlignment="1" applyProtection="1">
      <alignment horizontal="center" vertical="center" wrapText="1"/>
      <protection locked="0"/>
    </xf>
    <xf numFmtId="169" fontId="123" fillId="0" borderId="98" xfId="100" applyNumberFormat="1" applyFont="1" applyBorder="1" applyAlignment="1">
      <alignment vertical="center" wrapText="1"/>
      <protection/>
    </xf>
    <xf numFmtId="169" fontId="123" fillId="0" borderId="30" xfId="100" applyNumberFormat="1" applyFont="1" applyBorder="1" applyAlignment="1">
      <alignment vertical="center" wrapText="1"/>
      <protection/>
    </xf>
    <xf numFmtId="169" fontId="123" fillId="0" borderId="46" xfId="100" applyNumberFormat="1" applyFont="1" applyBorder="1" applyAlignment="1">
      <alignment vertical="center" wrapText="1"/>
      <protection/>
    </xf>
    <xf numFmtId="169" fontId="45" fillId="0" borderId="98" xfId="100" applyNumberFormat="1" applyFont="1" applyBorder="1" applyAlignment="1">
      <alignment vertical="center" wrapText="1"/>
      <protection/>
    </xf>
    <xf numFmtId="49" fontId="123" fillId="0" borderId="19" xfId="100" applyNumberFormat="1" applyFont="1" applyBorder="1" applyAlignment="1" applyProtection="1">
      <alignment horizontal="center" vertical="center" wrapText="1"/>
      <protection locked="0"/>
    </xf>
    <xf numFmtId="169" fontId="123" fillId="0" borderId="77" xfId="100" applyNumberFormat="1" applyFont="1" applyBorder="1" applyAlignment="1">
      <alignment vertical="center" wrapText="1"/>
      <protection/>
    </xf>
    <xf numFmtId="169" fontId="123" fillId="0" borderId="19" xfId="100" applyNumberFormat="1" applyFont="1" applyBorder="1" applyAlignment="1">
      <alignment vertical="center" wrapText="1"/>
      <protection/>
    </xf>
    <xf numFmtId="169" fontId="123" fillId="0" borderId="24" xfId="100" applyNumberFormat="1" applyFont="1" applyBorder="1" applyAlignment="1">
      <alignment vertical="center" wrapText="1"/>
      <protection/>
    </xf>
    <xf numFmtId="169" fontId="123" fillId="0" borderId="25" xfId="100" applyNumberFormat="1" applyFont="1" applyBorder="1" applyAlignment="1">
      <alignment vertical="center" wrapText="1"/>
      <protection/>
    </xf>
    <xf numFmtId="169" fontId="45" fillId="0" borderId="99" xfId="100" applyNumberFormat="1" applyFont="1" applyBorder="1" applyAlignment="1" applyProtection="1">
      <alignment horizontal="left" vertical="center" wrapText="1" indent="1"/>
      <protection locked="0"/>
    </xf>
    <xf numFmtId="49" fontId="123" fillId="0" borderId="23" xfId="100" applyNumberFormat="1" applyFont="1" applyBorder="1" applyAlignment="1" applyProtection="1">
      <alignment horizontal="center" vertical="center" wrapText="1"/>
      <protection locked="0"/>
    </xf>
    <xf numFmtId="169" fontId="123" fillId="0" borderId="99" xfId="100" applyNumberFormat="1" applyFont="1" applyBorder="1" applyAlignment="1">
      <alignment vertical="center" wrapText="1"/>
      <protection/>
    </xf>
    <xf numFmtId="169" fontId="123" fillId="0" borderId="23" xfId="100" applyNumberFormat="1" applyFont="1" applyBorder="1" applyAlignment="1">
      <alignment vertical="center" wrapText="1"/>
      <protection/>
    </xf>
    <xf numFmtId="169" fontId="123" fillId="0" borderId="20" xfId="100" applyNumberFormat="1" applyFont="1" applyBorder="1" applyAlignment="1">
      <alignment vertical="center" wrapText="1"/>
      <protection/>
    </xf>
    <xf numFmtId="169" fontId="123" fillId="0" borderId="21" xfId="100" applyNumberFormat="1" applyFont="1" applyBorder="1" applyAlignment="1">
      <alignment vertical="center" wrapText="1"/>
      <protection/>
    </xf>
    <xf numFmtId="169" fontId="45" fillId="0" borderId="99" xfId="100" applyNumberFormat="1" applyFont="1" applyBorder="1" applyAlignment="1">
      <alignment vertical="center" wrapText="1"/>
      <protection/>
    </xf>
    <xf numFmtId="169" fontId="123" fillId="0" borderId="22" xfId="100" applyNumberFormat="1" applyFont="1" applyBorder="1" applyAlignment="1" applyProtection="1">
      <alignment vertical="center" wrapText="1"/>
      <protection locked="0"/>
    </xf>
    <xf numFmtId="169" fontId="123" fillId="0" borderId="30" xfId="100" applyNumberFormat="1" applyFont="1" applyBorder="1" applyAlignment="1" applyProtection="1">
      <alignment vertical="center" wrapText="1"/>
      <protection locked="0"/>
    </xf>
    <xf numFmtId="169" fontId="123" fillId="0" borderId="46" xfId="100" applyNumberFormat="1" applyFont="1" applyBorder="1" applyAlignment="1" applyProtection="1">
      <alignment vertical="center" wrapText="1"/>
      <protection locked="0"/>
    </xf>
    <xf numFmtId="169" fontId="45" fillId="0" borderId="98" xfId="100" applyNumberFormat="1" applyFont="1" applyBorder="1" applyAlignment="1" applyProtection="1">
      <alignment horizontal="left" vertical="center" wrapText="1" indent="1"/>
      <protection locked="0"/>
    </xf>
    <xf numFmtId="49" fontId="123" fillId="0" borderId="30" xfId="100" applyNumberFormat="1" applyFont="1" applyBorder="1" applyAlignment="1" applyProtection="1">
      <alignment horizontal="center" vertical="center" wrapText="1"/>
      <protection locked="0"/>
    </xf>
    <xf numFmtId="169" fontId="123" fillId="0" borderId="98" xfId="100" applyNumberFormat="1" applyFont="1" applyBorder="1" applyAlignment="1" applyProtection="1">
      <alignment vertical="center" wrapText="1"/>
      <protection locked="0"/>
    </xf>
    <xf numFmtId="169" fontId="123" fillId="0" borderId="98" xfId="100" applyNumberFormat="1" applyFont="1" applyFill="1" applyBorder="1" applyAlignment="1">
      <alignment vertical="center" wrapText="1"/>
      <protection/>
    </xf>
    <xf numFmtId="169" fontId="123" fillId="0" borderId="22" xfId="100" applyNumberFormat="1" applyFont="1" applyFill="1" applyBorder="1" applyAlignment="1">
      <alignment vertical="center" wrapText="1"/>
      <protection/>
    </xf>
    <xf numFmtId="169" fontId="123" fillId="0" borderId="30" xfId="100" applyNumberFormat="1" applyFont="1" applyFill="1" applyBorder="1" applyAlignment="1">
      <alignment vertical="center" wrapText="1"/>
      <protection/>
    </xf>
    <xf numFmtId="169" fontId="123" fillId="0" borderId="46" xfId="100" applyNumberFormat="1" applyFont="1" applyFill="1" applyBorder="1" applyAlignment="1">
      <alignment vertical="center" wrapText="1"/>
      <protection/>
    </xf>
    <xf numFmtId="169" fontId="45" fillId="0" borderId="77" xfId="100" applyNumberFormat="1" applyFont="1" applyFill="1" applyBorder="1" applyAlignment="1">
      <alignment vertical="center" wrapText="1"/>
      <protection/>
    </xf>
    <xf numFmtId="49" fontId="123" fillId="0" borderId="41" xfId="100" applyNumberFormat="1" applyFont="1" applyBorder="1" applyAlignment="1" applyProtection="1">
      <alignment horizontal="center" vertical="center" wrapText="1"/>
      <protection locked="0"/>
    </xf>
    <xf numFmtId="169" fontId="123" fillId="0" borderId="99" xfId="100" applyNumberFormat="1" applyFont="1" applyBorder="1" applyAlignment="1" applyProtection="1">
      <alignment vertical="center" wrapText="1"/>
      <protection locked="0"/>
    </xf>
    <xf numFmtId="169" fontId="123" fillId="0" borderId="23" xfId="100" applyNumberFormat="1" applyFont="1" applyBorder="1" applyAlignment="1" applyProtection="1">
      <alignment vertical="center" wrapText="1"/>
      <protection locked="0"/>
    </xf>
    <xf numFmtId="169" fontId="123" fillId="0" borderId="20" xfId="100" applyNumberFormat="1" applyFont="1" applyBorder="1" applyAlignment="1" applyProtection="1">
      <alignment vertical="center" wrapText="1"/>
      <protection locked="0"/>
    </xf>
    <xf numFmtId="169" fontId="123" fillId="0" borderId="21" xfId="100" applyNumberFormat="1" applyFont="1" applyBorder="1" applyAlignment="1" applyProtection="1">
      <alignment vertical="center" wrapText="1"/>
      <protection locked="0"/>
    </xf>
    <xf numFmtId="169" fontId="123" fillId="55" borderId="59" xfId="100" applyNumberFormat="1" applyFont="1" applyFill="1" applyBorder="1" applyAlignment="1">
      <alignment horizontal="left" vertical="center" wrapText="1" indent="2"/>
      <protection/>
    </xf>
    <xf numFmtId="3" fontId="152" fillId="21" borderId="30" xfId="97" applyNumberFormat="1" applyFont="1" applyFill="1" applyBorder="1">
      <alignment/>
      <protection/>
    </xf>
    <xf numFmtId="170" fontId="30" fillId="0" borderId="46" xfId="68" applyNumberFormat="1" applyFont="1" applyFill="1" applyBorder="1" applyAlignment="1" applyProtection="1">
      <alignment vertical="center"/>
      <protection locked="0"/>
    </xf>
    <xf numFmtId="170" fontId="30" fillId="0" borderId="57" xfId="68" applyNumberFormat="1" applyFont="1" applyFill="1" applyBorder="1" applyAlignment="1" applyProtection="1">
      <alignment vertical="center"/>
      <protection locked="0"/>
    </xf>
    <xf numFmtId="170" fontId="30" fillId="0" borderId="25" xfId="68" applyNumberFormat="1" applyFont="1" applyFill="1" applyBorder="1" applyAlignment="1" applyProtection="1">
      <alignment vertical="center"/>
      <protection locked="0"/>
    </xf>
    <xf numFmtId="170" fontId="30" fillId="0" borderId="58" xfId="68" applyNumberFormat="1" applyFont="1" applyFill="1" applyBorder="1" applyAlignment="1" applyProtection="1">
      <alignment vertical="center"/>
      <protection locked="0"/>
    </xf>
    <xf numFmtId="0" fontId="76" fillId="0" borderId="20" xfId="0" applyFont="1" applyBorder="1" applyAlignment="1">
      <alignment vertical="center" wrapText="1"/>
    </xf>
    <xf numFmtId="170" fontId="46" fillId="0" borderId="45" xfId="68" applyNumberFormat="1" applyFont="1" applyFill="1" applyBorder="1" applyAlignment="1" applyProtection="1">
      <alignment vertical="center"/>
      <protection/>
    </xf>
    <xf numFmtId="170" fontId="30" fillId="0" borderId="45" xfId="68" applyNumberFormat="1" applyFont="1" applyFill="1" applyBorder="1" applyAlignment="1" applyProtection="1">
      <alignment vertical="center"/>
      <protection/>
    </xf>
    <xf numFmtId="10" fontId="7" fillId="0" borderId="19" xfId="122" applyNumberFormat="1" applyFont="1" applyFill="1" applyBorder="1" applyAlignment="1">
      <alignment vertical="center"/>
    </xf>
    <xf numFmtId="10" fontId="7" fillId="0" borderId="64" xfId="122" applyNumberFormat="1" applyFont="1" applyBorder="1" applyAlignment="1">
      <alignment vertical="center"/>
    </xf>
    <xf numFmtId="10" fontId="4" fillId="0" borderId="64" xfId="122" applyNumberFormat="1" applyFont="1" applyBorder="1" applyAlignment="1">
      <alignment vertical="center"/>
    </xf>
    <xf numFmtId="10" fontId="7" fillId="0" borderId="23" xfId="122" applyNumberFormat="1" applyFont="1" applyBorder="1" applyAlignment="1">
      <alignment vertical="center"/>
    </xf>
    <xf numFmtId="10" fontId="2" fillId="0" borderId="44" xfId="122" applyNumberFormat="1" applyFont="1" applyBorder="1" applyAlignment="1">
      <alignment vertical="center"/>
    </xf>
    <xf numFmtId="10" fontId="4" fillId="0" borderId="44" xfId="122" applyNumberFormat="1" applyFont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10" fontId="3" fillId="0" borderId="45" xfId="122" applyNumberFormat="1" applyFont="1" applyBorder="1" applyAlignment="1">
      <alignment horizontal="right" vertical="center" wrapText="1"/>
    </xf>
    <xf numFmtId="10" fontId="7" fillId="0" borderId="46" xfId="122" applyNumberFormat="1" applyFont="1" applyBorder="1" applyAlignment="1">
      <alignment horizontal="right" vertical="center" wrapText="1"/>
    </xf>
    <xf numFmtId="10" fontId="7" fillId="0" borderId="25" xfId="122" applyNumberFormat="1" applyFont="1" applyBorder="1" applyAlignment="1" applyProtection="1">
      <alignment horizontal="right" vertical="center" wrapText="1"/>
      <protection locked="0"/>
    </xf>
    <xf numFmtId="10" fontId="7" fillId="0" borderId="57" xfId="122" applyNumberFormat="1" applyFont="1" applyBorder="1" applyAlignment="1" applyProtection="1">
      <alignment vertical="center"/>
      <protection locked="0"/>
    </xf>
    <xf numFmtId="10" fontId="7" fillId="0" borderId="25" xfId="122" applyNumberFormat="1" applyFont="1" applyBorder="1" applyAlignment="1">
      <alignment horizontal="right" vertical="center" wrapText="1"/>
    </xf>
    <xf numFmtId="10" fontId="7" fillId="0" borderId="25" xfId="122" applyNumberFormat="1" applyFont="1" applyBorder="1" applyAlignment="1">
      <alignment horizontal="right" vertical="center"/>
    </xf>
    <xf numFmtId="10" fontId="7" fillId="0" borderId="25" xfId="122" applyNumberFormat="1" applyFont="1" applyBorder="1" applyAlignment="1" applyProtection="1">
      <alignment horizontal="right" vertical="center"/>
      <protection locked="0"/>
    </xf>
    <xf numFmtId="10" fontId="3" fillId="0" borderId="45" xfId="122" applyNumberFormat="1" applyFont="1" applyBorder="1" applyAlignment="1">
      <alignment horizontal="right" vertical="center"/>
    </xf>
    <xf numFmtId="10" fontId="7" fillId="0" borderId="57" xfId="122" applyNumberFormat="1" applyFont="1" applyBorder="1" applyAlignment="1" applyProtection="1">
      <alignment horizontal="right" vertical="center"/>
      <protection locked="0"/>
    </xf>
    <xf numFmtId="10" fontId="7" fillId="0" borderId="21" xfId="122" applyNumberFormat="1" applyFont="1" applyBorder="1" applyAlignment="1">
      <alignment horizontal="right" vertical="center"/>
    </xf>
    <xf numFmtId="10" fontId="3" fillId="0" borderId="45" xfId="122" applyNumberFormat="1" applyFont="1" applyBorder="1" applyAlignment="1">
      <alignment vertical="center"/>
    </xf>
    <xf numFmtId="10" fontId="7" fillId="0" borderId="58" xfId="122" applyNumberFormat="1" applyFont="1" applyBorder="1" applyAlignment="1" applyProtection="1">
      <alignment vertical="center"/>
      <protection locked="0"/>
    </xf>
    <xf numFmtId="10" fontId="7" fillId="0" borderId="25" xfId="122" applyNumberFormat="1" applyFont="1" applyBorder="1" applyAlignment="1" applyProtection="1">
      <alignment vertical="center"/>
      <protection locked="0"/>
    </xf>
    <xf numFmtId="10" fontId="2" fillId="0" borderId="45" xfId="122" applyNumberFormat="1" applyFont="1" applyBorder="1" applyAlignment="1">
      <alignment vertical="center"/>
    </xf>
    <xf numFmtId="10" fontId="4" fillId="0" borderId="45" xfId="122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24" xfId="107" applyBorder="1" applyAlignment="1">
      <alignment wrapText="1"/>
      <protection/>
    </xf>
    <xf numFmtId="3" fontId="1" fillId="0" borderId="24" xfId="107" applyNumberFormat="1" applyBorder="1">
      <alignment/>
      <protection/>
    </xf>
    <xf numFmtId="3" fontId="26" fillId="0" borderId="26" xfId="105" applyNumberFormat="1" applyFont="1" applyFill="1" applyBorder="1" applyAlignment="1">
      <alignment vertical="center" wrapText="1"/>
      <protection/>
    </xf>
    <xf numFmtId="3" fontId="26" fillId="0" borderId="42" xfId="105" applyNumberFormat="1" applyFont="1" applyFill="1" applyBorder="1" applyAlignment="1">
      <alignment vertical="center"/>
      <protection/>
    </xf>
    <xf numFmtId="3" fontId="26" fillId="0" borderId="42" xfId="105" applyNumberFormat="1" applyFont="1" applyFill="1" applyBorder="1" applyAlignment="1">
      <alignment horizontal="right" vertical="center"/>
      <protection/>
    </xf>
    <xf numFmtId="3" fontId="26" fillId="0" borderId="25" xfId="105" applyNumberFormat="1" applyFont="1" applyFill="1" applyBorder="1" applyAlignment="1">
      <alignment horizontal="right" vertical="center"/>
      <protection/>
    </xf>
    <xf numFmtId="3" fontId="26" fillId="0" borderId="19" xfId="105" applyNumberFormat="1" applyFont="1" applyFill="1" applyBorder="1" applyAlignment="1">
      <alignment vertical="center" wrapText="1"/>
      <protection/>
    </xf>
    <xf numFmtId="3" fontId="26" fillId="0" borderId="24" xfId="105" applyNumberFormat="1" applyFont="1" applyFill="1" applyBorder="1" applyAlignment="1">
      <alignment vertical="center"/>
      <protection/>
    </xf>
    <xf numFmtId="3" fontId="26" fillId="0" borderId="24" xfId="105" applyNumberFormat="1" applyFont="1" applyFill="1" applyBorder="1" applyAlignment="1">
      <alignment horizontal="right" vertical="center"/>
      <protection/>
    </xf>
    <xf numFmtId="3" fontId="26" fillId="0" borderId="29" xfId="105" applyNumberFormat="1" applyFont="1" applyFill="1" applyBorder="1" applyAlignment="1">
      <alignment vertical="center" wrapText="1"/>
      <protection/>
    </xf>
    <xf numFmtId="3" fontId="26" fillId="0" borderId="28" xfId="105" applyNumberFormat="1" applyFont="1" applyFill="1" applyBorder="1" applyAlignment="1">
      <alignment vertical="center"/>
      <protection/>
    </xf>
    <xf numFmtId="3" fontId="26" fillId="0" borderId="28" xfId="105" applyNumberFormat="1" applyFont="1" applyFill="1" applyBorder="1" applyAlignment="1">
      <alignment horizontal="right" vertical="center"/>
      <protection/>
    </xf>
    <xf numFmtId="3" fontId="26" fillId="0" borderId="23" xfId="105" applyNumberFormat="1" applyFont="1" applyFill="1" applyBorder="1" applyAlignment="1">
      <alignment vertical="center" wrapText="1"/>
      <protection/>
    </xf>
    <xf numFmtId="3" fontId="26" fillId="0" borderId="20" xfId="105" applyNumberFormat="1" applyFont="1" applyFill="1" applyBorder="1" applyAlignment="1">
      <alignment vertical="center"/>
      <protection/>
    </xf>
    <xf numFmtId="3" fontId="26" fillId="0" borderId="20" xfId="105" applyNumberFormat="1" applyFont="1" applyFill="1" applyBorder="1" applyAlignment="1">
      <alignment horizontal="right" vertical="center"/>
      <protection/>
    </xf>
    <xf numFmtId="3" fontId="26" fillId="0" borderId="21" xfId="105" applyNumberFormat="1" applyFont="1" applyFill="1" applyBorder="1" applyAlignment="1">
      <alignment horizontal="right" vertical="center"/>
      <protection/>
    </xf>
    <xf numFmtId="3" fontId="24" fillId="0" borderId="40" xfId="105" applyNumberFormat="1" applyFont="1" applyFill="1" applyBorder="1" applyAlignment="1">
      <alignment vertical="center" wrapText="1"/>
      <protection/>
    </xf>
    <xf numFmtId="3" fontId="24" fillId="0" borderId="50" xfId="105" applyNumberFormat="1" applyFont="1" applyFill="1" applyBorder="1" applyAlignment="1">
      <alignment vertical="center"/>
      <protection/>
    </xf>
    <xf numFmtId="3" fontId="24" fillId="0" borderId="47" xfId="105" applyNumberFormat="1" applyFont="1" applyFill="1" applyBorder="1" applyAlignment="1">
      <alignment vertical="center"/>
      <protection/>
    </xf>
    <xf numFmtId="3" fontId="1" fillId="0" borderId="0" xfId="105" applyNumberFormat="1" applyFill="1" applyAlignment="1">
      <alignment vertical="center" wrapText="1"/>
      <protection/>
    </xf>
    <xf numFmtId="3" fontId="1" fillId="0" borderId="0" xfId="105" applyNumberFormat="1" applyFill="1" applyAlignment="1">
      <alignment vertical="center"/>
      <protection/>
    </xf>
    <xf numFmtId="3" fontId="1" fillId="0" borderId="0" xfId="105" applyNumberFormat="1" applyFill="1" applyAlignment="1">
      <alignment horizontal="right" vertical="center"/>
      <protection/>
    </xf>
    <xf numFmtId="3" fontId="86" fillId="0" borderId="20" xfId="105" applyNumberFormat="1" applyFont="1" applyFill="1" applyBorder="1" applyAlignment="1">
      <alignment horizontal="center" vertical="center"/>
      <protection/>
    </xf>
    <xf numFmtId="3" fontId="86" fillId="0" borderId="92" xfId="105" applyNumberFormat="1" applyFont="1" applyFill="1" applyBorder="1" applyAlignment="1">
      <alignment horizontal="center" vertical="center"/>
      <protection/>
    </xf>
    <xf numFmtId="3" fontId="86" fillId="0" borderId="21" xfId="105" applyNumberFormat="1" applyFont="1" applyFill="1" applyBorder="1" applyAlignment="1">
      <alignment horizontal="center" vertical="center"/>
      <protection/>
    </xf>
    <xf numFmtId="0" fontId="26" fillId="0" borderId="26" xfId="105" applyFont="1" applyFill="1" applyBorder="1" applyAlignment="1">
      <alignment vertical="center"/>
      <protection/>
    </xf>
    <xf numFmtId="0" fontId="26" fillId="0" borderId="23" xfId="105" applyFont="1" applyFill="1" applyBorder="1" applyAlignment="1">
      <alignment vertical="center"/>
      <protection/>
    </xf>
    <xf numFmtId="3" fontId="6" fillId="0" borderId="0" xfId="105" applyNumberFormat="1" applyFont="1" applyFill="1" applyAlignment="1">
      <alignment vertical="center"/>
      <protection/>
    </xf>
    <xf numFmtId="0" fontId="24" fillId="0" borderId="40" xfId="105" applyFont="1" applyFill="1" applyBorder="1" applyAlignment="1">
      <alignment vertical="center"/>
      <protection/>
    </xf>
    <xf numFmtId="10" fontId="53" fillId="0" borderId="45" xfId="0" applyNumberFormat="1" applyFont="1" applyFill="1" applyBorder="1" applyAlignment="1">
      <alignment horizontal="right" vertical="center" wrapText="1" indent="1"/>
    </xf>
    <xf numFmtId="169" fontId="30" fillId="0" borderId="0" xfId="0" applyNumberFormat="1" applyFont="1" applyFill="1" applyAlignment="1">
      <alignment horizontal="left" vertical="center" wrapText="1"/>
    </xf>
    <xf numFmtId="169" fontId="30" fillId="0" borderId="0" xfId="0" applyNumberFormat="1" applyFont="1" applyFill="1" applyAlignment="1">
      <alignment vertical="center" wrapText="1"/>
    </xf>
    <xf numFmtId="169" fontId="52" fillId="0" borderId="0" xfId="0" applyNumberFormat="1" applyFont="1" applyFill="1" applyAlignment="1" applyProtection="1">
      <alignment vertical="center" wrapText="1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0" fontId="46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1" fillId="0" borderId="0" xfId="0" applyFont="1" applyFill="1" applyAlignment="1">
      <alignment horizontal="right"/>
    </xf>
    <xf numFmtId="0" fontId="49" fillId="0" borderId="32" xfId="0" applyFont="1" applyFill="1" applyBorder="1" applyAlignment="1">
      <alignment horizontal="center" vertical="center" wrapText="1"/>
    </xf>
    <xf numFmtId="0" fontId="49" fillId="0" borderId="54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9" fillId="0" borderId="55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49" fillId="0" borderId="69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59" xfId="0" applyFont="1" applyFill="1" applyBorder="1" applyAlignment="1">
      <alignment horizontal="center" vertical="center" wrapText="1"/>
    </xf>
    <xf numFmtId="0" fontId="53" fillId="0" borderId="5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169" fontId="49" fillId="0" borderId="97" xfId="0" applyNumberFormat="1" applyFont="1" applyFill="1" applyBorder="1" applyAlignment="1">
      <alignment horizontal="center" vertical="center" wrapText="1"/>
    </xf>
    <xf numFmtId="169" fontId="49" fillId="0" borderId="28" xfId="0" applyNumberFormat="1" applyFont="1" applyFill="1" applyBorder="1" applyAlignment="1">
      <alignment horizontal="center" vertical="center" wrapText="1"/>
    </xf>
    <xf numFmtId="10" fontId="49" fillId="0" borderId="63" xfId="122" applyNumberFormat="1" applyFont="1" applyFill="1" applyBorder="1" applyAlignment="1">
      <alignment horizontal="center" vertical="center" wrapText="1"/>
    </xf>
    <xf numFmtId="169" fontId="49" fillId="0" borderId="58" xfId="0" applyNumberFormat="1" applyFont="1" applyFill="1" applyBorder="1" applyAlignment="1">
      <alignment horizontal="center" vertical="center" wrapText="1"/>
    </xf>
    <xf numFmtId="169" fontId="49" fillId="0" borderId="29" xfId="0" applyNumberFormat="1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left" vertical="center" wrapText="1" indent="1"/>
    </xf>
    <xf numFmtId="169" fontId="53" fillId="0" borderId="27" xfId="0" applyNumberFormat="1" applyFont="1" applyFill="1" applyBorder="1" applyAlignment="1">
      <alignment horizontal="right" vertical="center" wrapText="1" indent="1"/>
    </xf>
    <xf numFmtId="10" fontId="53" fillId="0" borderId="59" xfId="122" applyNumberFormat="1" applyFont="1" applyFill="1" applyBorder="1" applyAlignment="1">
      <alignment horizontal="right" vertical="center" wrapText="1" indent="1"/>
    </xf>
    <xf numFmtId="169" fontId="53" fillId="0" borderId="54" xfId="0" applyNumberFormat="1" applyFont="1" applyFill="1" applyBorder="1" applyAlignment="1">
      <alignment horizontal="right" vertical="center" wrapText="1" indent="1"/>
    </xf>
    <xf numFmtId="169" fontId="53" fillId="0" borderId="44" xfId="0" applyNumberFormat="1" applyFont="1" applyFill="1" applyBorder="1" applyAlignment="1">
      <alignment horizontal="right" vertical="center" wrapText="1" indent="1"/>
    </xf>
    <xf numFmtId="169" fontId="53" fillId="0" borderId="45" xfId="0" applyNumberFormat="1" applyFont="1" applyFill="1" applyBorder="1" applyAlignment="1">
      <alignment horizontal="right" vertical="center" wrapText="1" indent="1"/>
    </xf>
    <xf numFmtId="0" fontId="43" fillId="0" borderId="0" xfId="0" applyFont="1" applyFill="1" applyAlignment="1">
      <alignment vertical="center" wrapText="1"/>
    </xf>
    <xf numFmtId="0" fontId="53" fillId="0" borderId="22" xfId="0" applyFont="1" applyFill="1" applyBorder="1" applyAlignment="1">
      <alignment horizontal="center" vertical="center" wrapText="1"/>
    </xf>
    <xf numFmtId="49" fontId="45" fillId="0" borderId="30" xfId="0" applyNumberFormat="1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left" vertical="center" wrapText="1" indent="1"/>
    </xf>
    <xf numFmtId="169" fontId="53" fillId="0" borderId="30" xfId="0" applyNumberFormat="1" applyFont="1" applyFill="1" applyBorder="1" applyAlignment="1">
      <alignment horizontal="right" vertical="center" wrapText="1" indent="1"/>
    </xf>
    <xf numFmtId="10" fontId="53" fillId="0" borderId="70" xfId="122" applyNumberFormat="1" applyFont="1" applyFill="1" applyBorder="1" applyAlignment="1">
      <alignment horizontal="right" vertical="center" wrapText="1" indent="1"/>
    </xf>
    <xf numFmtId="169" fontId="53" fillId="0" borderId="46" xfId="0" applyNumberFormat="1" applyFont="1" applyFill="1" applyBorder="1" applyAlignment="1">
      <alignment horizontal="right" vertical="center" wrapText="1" indent="1"/>
    </xf>
    <xf numFmtId="169" fontId="53" fillId="0" borderId="22" xfId="0" applyNumberFormat="1" applyFont="1" applyFill="1" applyBorder="1" applyAlignment="1">
      <alignment horizontal="right" vertical="center" wrapText="1" indent="1"/>
    </xf>
    <xf numFmtId="169" fontId="53" fillId="0" borderId="90" xfId="0" applyNumberFormat="1" applyFont="1" applyFill="1" applyBorder="1" applyAlignment="1">
      <alignment horizontal="right" vertical="center" wrapText="1" indent="1"/>
    </xf>
    <xf numFmtId="169" fontId="53" fillId="0" borderId="75" xfId="0" applyNumberFormat="1" applyFont="1" applyFill="1" applyBorder="1" applyAlignment="1">
      <alignment horizontal="right" vertical="center" wrapText="1" indent="1"/>
    </xf>
    <xf numFmtId="169" fontId="53" fillId="0" borderId="74" xfId="0" applyNumberFormat="1" applyFont="1" applyFill="1" applyBorder="1" applyAlignment="1">
      <alignment horizontal="right" vertical="center" wrapText="1" indent="1"/>
    </xf>
    <xf numFmtId="0" fontId="53" fillId="0" borderId="26" xfId="0" applyFont="1" applyFill="1" applyBorder="1" applyAlignment="1">
      <alignment horizontal="center" vertical="center" wrapText="1"/>
    </xf>
    <xf numFmtId="49" fontId="45" fillId="0" borderId="24" xfId="0" applyNumberFormat="1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left" vertical="center" wrapText="1" indent="1"/>
    </xf>
    <xf numFmtId="169" fontId="53" fillId="0" borderId="42" xfId="0" applyNumberFormat="1" applyFont="1" applyFill="1" applyBorder="1" applyAlignment="1">
      <alignment horizontal="right" vertical="center" wrapText="1" indent="1"/>
    </xf>
    <xf numFmtId="10" fontId="53" fillId="0" borderId="67" xfId="122" applyNumberFormat="1" applyFont="1" applyFill="1" applyBorder="1" applyAlignment="1">
      <alignment horizontal="right" vertical="center" wrapText="1" indent="1"/>
    </xf>
    <xf numFmtId="169" fontId="45" fillId="0" borderId="57" xfId="0" applyNumberFormat="1" applyFont="1" applyFill="1" applyBorder="1" applyAlignment="1">
      <alignment horizontal="right" vertical="center" wrapText="1" indent="1"/>
    </xf>
    <xf numFmtId="169" fontId="45" fillId="0" borderId="26" xfId="0" applyNumberFormat="1" applyFont="1" applyFill="1" applyBorder="1" applyAlignment="1">
      <alignment horizontal="right" vertical="center" wrapText="1" indent="1"/>
    </xf>
    <xf numFmtId="169" fontId="4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31" xfId="0" applyNumberFormat="1" applyFont="1" applyFill="1" applyBorder="1" applyAlignment="1">
      <alignment horizontal="right" vertical="center" wrapText="1" indent="1"/>
    </xf>
    <xf numFmtId="169" fontId="53" fillId="0" borderId="26" xfId="0" applyNumberFormat="1" applyFont="1" applyFill="1" applyBorder="1" applyAlignment="1">
      <alignment horizontal="right" vertical="center" wrapText="1" indent="1"/>
    </xf>
    <xf numFmtId="0" fontId="53" fillId="0" borderId="19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left" vertical="center" wrapText="1" indent="1"/>
    </xf>
    <xf numFmtId="169" fontId="53" fillId="0" borderId="24" xfId="0" applyNumberFormat="1" applyFont="1" applyFill="1" applyBorder="1" applyAlignment="1">
      <alignment horizontal="right" vertical="center" wrapText="1" indent="1"/>
    </xf>
    <xf numFmtId="10" fontId="53" fillId="0" borderId="62" xfId="122" applyNumberFormat="1" applyFont="1" applyFill="1" applyBorder="1" applyAlignment="1">
      <alignment horizontal="right" vertical="center" wrapText="1" indent="1"/>
    </xf>
    <xf numFmtId="169" fontId="45" fillId="0" borderId="25" xfId="0" applyNumberFormat="1" applyFont="1" applyFill="1" applyBorder="1" applyAlignment="1">
      <alignment horizontal="right" vertical="center" wrapText="1" indent="1"/>
    </xf>
    <xf numFmtId="169" fontId="45" fillId="0" borderId="24" xfId="0" applyNumberFormat="1" applyFont="1" applyFill="1" applyBorder="1" applyAlignment="1">
      <alignment horizontal="right" vertical="center" wrapText="1" indent="1"/>
    </xf>
    <xf numFmtId="169" fontId="45" fillId="0" borderId="89" xfId="0" applyNumberFormat="1" applyFont="1" applyFill="1" applyBorder="1" applyAlignment="1">
      <alignment horizontal="right" vertical="center" wrapText="1" indent="1"/>
    </xf>
    <xf numFmtId="169" fontId="53" fillId="0" borderId="89" xfId="0" applyNumberFormat="1" applyFont="1" applyFill="1" applyBorder="1" applyAlignment="1">
      <alignment horizontal="right" vertical="center" wrapText="1" indent="1"/>
    </xf>
    <xf numFmtId="169" fontId="53" fillId="0" borderId="19" xfId="0" applyNumberFormat="1" applyFont="1" applyFill="1" applyBorder="1" applyAlignment="1">
      <alignment horizontal="right" vertical="center" wrapText="1" indent="1"/>
    </xf>
    <xf numFmtId="0" fontId="53" fillId="0" borderId="29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left" vertical="center" wrapText="1" indent="1"/>
    </xf>
    <xf numFmtId="169" fontId="53" fillId="0" borderId="28" xfId="0" applyNumberFormat="1" applyFont="1" applyFill="1" applyBorder="1" applyAlignment="1">
      <alignment horizontal="right" vertical="center" wrapText="1" indent="1"/>
    </xf>
    <xf numFmtId="10" fontId="53" fillId="0" borderId="63" xfId="122" applyNumberFormat="1" applyFont="1" applyFill="1" applyBorder="1" applyAlignment="1">
      <alignment horizontal="right" vertical="center" wrapText="1" indent="1"/>
    </xf>
    <xf numFmtId="169" fontId="53" fillId="0" borderId="58" xfId="0" applyNumberFormat="1" applyFont="1" applyFill="1" applyBorder="1" applyAlignment="1">
      <alignment horizontal="right" vertical="center" wrapText="1" indent="1"/>
    </xf>
    <xf numFmtId="169" fontId="45" fillId="0" borderId="28" xfId="0" applyNumberFormat="1" applyFont="1" applyFill="1" applyBorder="1" applyAlignment="1">
      <alignment horizontal="right" vertical="center" wrapText="1" indent="1"/>
    </xf>
    <xf numFmtId="169" fontId="45" fillId="0" borderId="97" xfId="0" applyNumberFormat="1" applyFont="1" applyFill="1" applyBorder="1" applyAlignment="1">
      <alignment horizontal="right" vertical="center" wrapText="1" indent="1"/>
    </xf>
    <xf numFmtId="169" fontId="53" fillId="0" borderId="97" xfId="0" applyNumberFormat="1" applyFont="1" applyFill="1" applyBorder="1" applyAlignment="1">
      <alignment horizontal="right" vertical="center" wrapText="1" indent="1"/>
    </xf>
    <xf numFmtId="169" fontId="53" fillId="0" borderId="29" xfId="0" applyNumberFormat="1" applyFont="1" applyFill="1" applyBorder="1" applyAlignment="1">
      <alignment horizontal="right" vertical="center" wrapText="1" indent="1"/>
    </xf>
    <xf numFmtId="0" fontId="53" fillId="0" borderId="64" xfId="0" applyFont="1" applyFill="1" applyBorder="1" applyAlignment="1">
      <alignment horizontal="center" vertical="center" wrapText="1"/>
    </xf>
    <xf numFmtId="0" fontId="45" fillId="0" borderId="74" xfId="111" applyFont="1" applyFill="1" applyBorder="1" applyAlignment="1">
      <alignment horizontal="left" vertical="center" wrapText="1" indent="1"/>
      <protection/>
    </xf>
    <xf numFmtId="169" fontId="5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95" xfId="122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0" fontId="45" fillId="0" borderId="42" xfId="111" applyFont="1" applyFill="1" applyBorder="1" applyAlignment="1">
      <alignment horizontal="left" vertical="center" wrapText="1" indent="1"/>
      <protection/>
    </xf>
    <xf numFmtId="169" fontId="4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62" xfId="122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4" xfId="111" applyFont="1" applyFill="1" applyBorder="1" applyAlignment="1">
      <alignment horizontal="left" vertical="center" wrapText="1" indent="1"/>
      <protection/>
    </xf>
    <xf numFmtId="0" fontId="53" fillId="0" borderId="44" xfId="0" applyFont="1" applyFill="1" applyBorder="1" applyAlignment="1">
      <alignment horizontal="center" vertical="center" wrapText="1"/>
    </xf>
    <xf numFmtId="0" fontId="53" fillId="0" borderId="27" xfId="111" applyFont="1" applyFill="1" applyBorder="1" applyAlignment="1">
      <alignment horizontal="left" vertical="center" wrapText="1" indent="1"/>
      <protection/>
    </xf>
    <xf numFmtId="0" fontId="53" fillId="0" borderId="22" xfId="0" applyFont="1" applyFill="1" applyBorder="1" applyAlignment="1">
      <alignment horizontal="center" vertical="center" wrapText="1"/>
    </xf>
    <xf numFmtId="0" fontId="45" fillId="0" borderId="30" xfId="111" applyFont="1" applyFill="1" applyBorder="1" applyAlignment="1">
      <alignment horizontal="left" vertical="center" wrapText="1" indent="1"/>
      <protection/>
    </xf>
    <xf numFmtId="169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70" xfId="122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40" xfId="0" applyFont="1" applyFill="1" applyBorder="1" applyAlignment="1">
      <alignment horizontal="center" vertical="center" wrapText="1"/>
    </xf>
    <xf numFmtId="49" fontId="45" fillId="0" borderId="42" xfId="0" applyNumberFormat="1" applyFont="1" applyFill="1" applyBorder="1" applyAlignment="1">
      <alignment horizontal="center" vertical="center" wrapText="1"/>
    </xf>
    <xf numFmtId="0" fontId="45" fillId="0" borderId="50" xfId="111" applyFont="1" applyFill="1" applyBorder="1" applyAlignment="1">
      <alignment horizontal="left" vertical="center" wrapText="1" indent="1"/>
      <protection/>
    </xf>
    <xf numFmtId="169" fontId="45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71" xfId="122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59" xfId="122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7" xfId="111" applyNumberFormat="1" applyFont="1" applyFill="1" applyBorder="1" applyAlignment="1">
      <alignment horizontal="left" vertical="center" wrapText="1" indent="1"/>
      <protection/>
    </xf>
    <xf numFmtId="10" fontId="53" fillId="0" borderId="39" xfId="122" applyNumberFormat="1" applyFont="1" applyFill="1" applyBorder="1" applyAlignment="1">
      <alignment horizontal="right" vertical="center" wrapText="1" indent="1"/>
    </xf>
    <xf numFmtId="0" fontId="54" fillId="0" borderId="48" xfId="0" applyFont="1" applyFill="1" applyBorder="1" applyAlignment="1">
      <alignment horizontal="center" vertical="center" wrapText="1"/>
    </xf>
    <xf numFmtId="0" fontId="53" fillId="0" borderId="43" xfId="111" applyFont="1" applyFill="1" applyBorder="1" applyAlignment="1">
      <alignment horizontal="left" vertical="center" wrapText="1" indent="1"/>
      <protection/>
    </xf>
    <xf numFmtId="169" fontId="53" fillId="0" borderId="56" xfId="0" applyNumberFormat="1" applyFont="1" applyFill="1" applyBorder="1" applyAlignment="1">
      <alignment horizontal="right" vertical="center" wrapText="1" indent="1"/>
    </xf>
    <xf numFmtId="10" fontId="53" fillId="0" borderId="56" xfId="122" applyNumberFormat="1" applyFont="1" applyFill="1" applyBorder="1" applyAlignment="1">
      <alignment horizontal="right" vertical="center" wrapText="1" indent="1"/>
    </xf>
    <xf numFmtId="169" fontId="53" fillId="0" borderId="55" xfId="0" applyNumberFormat="1" applyFont="1" applyFill="1" applyBorder="1" applyAlignment="1">
      <alignment horizontal="right" vertical="center" wrapText="1" indent="1"/>
    </xf>
    <xf numFmtId="49" fontId="45" fillId="0" borderId="30" xfId="111" applyNumberFormat="1" applyFont="1" applyFill="1" applyBorder="1" applyAlignment="1">
      <alignment horizontal="left" vertical="center" wrapText="1" indent="1"/>
      <protection/>
    </xf>
    <xf numFmtId="10" fontId="45" fillId="0" borderId="62" xfId="122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64" xfId="0" applyFont="1" applyFill="1" applyBorder="1" applyAlignment="1">
      <alignment horizontal="center" vertical="center" wrapText="1"/>
    </xf>
    <xf numFmtId="49" fontId="45" fillId="0" borderId="74" xfId="111" applyNumberFormat="1" applyFont="1" applyFill="1" applyBorder="1" applyAlignment="1">
      <alignment horizontal="left" vertical="center" wrapText="1" indent="1"/>
      <protection/>
    </xf>
    <xf numFmtId="0" fontId="45" fillId="0" borderId="70" xfId="111" applyFont="1" applyFill="1" applyBorder="1" applyAlignment="1">
      <alignment horizontal="left" vertical="center" wrapText="1" indent="1"/>
      <protection/>
    </xf>
    <xf numFmtId="169" fontId="45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3" xfId="0" applyFont="1" applyFill="1" applyBorder="1" applyAlignment="1">
      <alignment vertical="center" wrapText="1"/>
    </xf>
    <xf numFmtId="49" fontId="45" fillId="0" borderId="20" xfId="111" applyNumberFormat="1" applyFont="1" applyFill="1" applyBorder="1" applyAlignment="1">
      <alignment horizontal="left" vertical="center" wrapText="1" indent="1"/>
      <protection/>
    </xf>
    <xf numFmtId="0" fontId="45" fillId="0" borderId="20" xfId="111" applyFont="1" applyFill="1" applyBorder="1" applyAlignment="1">
      <alignment horizontal="left" vertical="center" wrapText="1" indent="1"/>
      <protection/>
    </xf>
    <xf numFmtId="169" fontId="4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72" xfId="122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44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wrapText="1"/>
    </xf>
    <xf numFmtId="0" fontId="53" fillId="0" borderId="54" xfId="111" applyFont="1" applyFill="1" applyBorder="1" applyAlignment="1">
      <alignment horizontal="left" vertical="center" wrapText="1" indent="1"/>
      <protection/>
    </xf>
    <xf numFmtId="10" fontId="53" fillId="0" borderId="39" xfId="122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54" xfId="0" applyFont="1" applyFill="1" applyBorder="1" applyAlignment="1">
      <alignment horizontal="center" wrapText="1"/>
    </xf>
    <xf numFmtId="0" fontId="57" fillId="0" borderId="54" xfId="0" applyFont="1" applyFill="1" applyBorder="1" applyAlignment="1">
      <alignment horizontal="left" wrapText="1" indent="1"/>
    </xf>
    <xf numFmtId="169" fontId="53" fillId="0" borderId="54" xfId="0" applyNumberFormat="1" applyFont="1" applyFill="1" applyBorder="1" applyAlignment="1">
      <alignment horizontal="right" vertical="center" wrapText="1" indent="1"/>
    </xf>
    <xf numFmtId="10" fontId="53" fillId="0" borderId="54" xfId="122" applyNumberFormat="1" applyFont="1" applyFill="1" applyBorder="1" applyAlignment="1">
      <alignment horizontal="right" vertical="center" wrapText="1" indent="1"/>
    </xf>
    <xf numFmtId="169" fontId="53" fillId="0" borderId="45" xfId="0" applyNumberFormat="1" applyFont="1" applyFill="1" applyBorder="1" applyAlignment="1">
      <alignment horizontal="right" vertical="center" wrapText="1" indent="1"/>
    </xf>
    <xf numFmtId="169" fontId="53" fillId="0" borderId="27" xfId="0" applyNumberFormat="1" applyFont="1" applyFill="1" applyBorder="1" applyAlignment="1">
      <alignment horizontal="right" vertical="center" wrapText="1" indent="1"/>
    </xf>
    <xf numFmtId="0" fontId="45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 indent="1"/>
    </xf>
    <xf numFmtId="169" fontId="53" fillId="0" borderId="0" xfId="0" applyNumberFormat="1" applyFont="1" applyFill="1" applyAlignment="1">
      <alignment horizontal="right" vertical="center" wrapText="1" indent="1"/>
    </xf>
    <xf numFmtId="10" fontId="53" fillId="0" borderId="0" xfId="122" applyNumberFormat="1" applyFont="1" applyFill="1" applyAlignment="1">
      <alignment horizontal="right" vertical="center" wrapText="1" indent="1"/>
    </xf>
    <xf numFmtId="0" fontId="58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right" vertical="center" wrapText="1" indent="1"/>
    </xf>
    <xf numFmtId="10" fontId="45" fillId="0" borderId="0" xfId="122" applyNumberFormat="1" applyFont="1" applyFill="1" applyAlignment="1">
      <alignment horizontal="right" vertical="center" wrapText="1" inden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169" fontId="53" fillId="0" borderId="39" xfId="0" applyNumberFormat="1" applyFont="1" applyFill="1" applyBorder="1" applyAlignment="1">
      <alignment horizontal="right" vertical="center" wrapText="1" indent="1"/>
    </xf>
    <xf numFmtId="10" fontId="53" fillId="0" borderId="39" xfId="122" applyNumberFormat="1" applyFont="1" applyFill="1" applyBorder="1" applyAlignment="1">
      <alignment horizontal="right" vertical="center" wrapText="1" indent="1"/>
    </xf>
    <xf numFmtId="169" fontId="53" fillId="0" borderId="44" xfId="0" applyNumberFormat="1" applyFont="1" applyFill="1" applyBorder="1" applyAlignment="1">
      <alignment horizontal="right" vertical="center" wrapText="1" indent="1"/>
    </xf>
    <xf numFmtId="169" fontId="53" fillId="0" borderId="59" xfId="0" applyNumberFormat="1" applyFont="1" applyFill="1" applyBorder="1" applyAlignment="1">
      <alignment horizontal="right" vertical="center" wrapText="1" indent="1"/>
    </xf>
    <xf numFmtId="169" fontId="53" fillId="0" borderId="49" xfId="0" applyNumberFormat="1" applyFont="1" applyFill="1" applyBorder="1" applyAlignment="1">
      <alignment horizontal="right" vertical="center" wrapText="1" indent="1"/>
    </xf>
    <xf numFmtId="0" fontId="53" fillId="0" borderId="27" xfId="111" applyFont="1" applyFill="1" applyBorder="1" applyAlignment="1">
      <alignment horizontal="left" vertical="center" wrapText="1" indent="1"/>
      <protection/>
    </xf>
    <xf numFmtId="0" fontId="53" fillId="0" borderId="59" xfId="111" applyFont="1" applyFill="1" applyBorder="1" applyAlignment="1">
      <alignment horizontal="left" vertical="center" wrapText="1" indent="1"/>
      <protection/>
    </xf>
    <xf numFmtId="10" fontId="53" fillId="0" borderId="44" xfId="122" applyNumberFormat="1" applyFont="1" applyFill="1" applyBorder="1" applyAlignment="1">
      <alignment horizontal="right" vertical="center" wrapText="1" indent="1"/>
    </xf>
    <xf numFmtId="169" fontId="53" fillId="0" borderId="49" xfId="0" applyNumberFormat="1" applyFont="1" applyFill="1" applyBorder="1" applyAlignment="1">
      <alignment horizontal="right" vertical="center" wrapText="1" indent="1"/>
    </xf>
    <xf numFmtId="10" fontId="53" fillId="0" borderId="49" xfId="0" applyNumberFormat="1" applyFont="1" applyFill="1" applyBorder="1" applyAlignment="1">
      <alignment horizontal="right" vertical="center" wrapText="1" indent="1"/>
    </xf>
    <xf numFmtId="0" fontId="53" fillId="0" borderId="26" xfId="0" applyFont="1" applyFill="1" applyBorder="1" applyAlignment="1">
      <alignment horizontal="center" vertical="center" wrapText="1"/>
    </xf>
    <xf numFmtId="49" fontId="45" fillId="0" borderId="42" xfId="111" applyNumberFormat="1" applyFont="1" applyFill="1" applyBorder="1" applyAlignment="1">
      <alignment horizontal="left" vertical="center" wrapText="1" indent="1"/>
      <protection/>
    </xf>
    <xf numFmtId="0" fontId="45" fillId="0" borderId="67" xfId="111" applyFont="1" applyFill="1" applyBorder="1" applyAlignment="1">
      <alignment horizontal="left" vertical="center" wrapText="1" indent="1"/>
      <protection/>
    </xf>
    <xf numFmtId="10" fontId="45" fillId="0" borderId="25" xfId="122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19" xfId="0" applyFont="1" applyFill="1" applyBorder="1" applyAlignment="1">
      <alignment horizontal="center" vertical="center" wrapText="1"/>
    </xf>
    <xf numFmtId="49" fontId="45" fillId="0" borderId="24" xfId="111" applyNumberFormat="1" applyFont="1" applyFill="1" applyBorder="1" applyAlignment="1">
      <alignment horizontal="left" vertical="center" wrapText="1" indent="1"/>
      <protection/>
    </xf>
    <xf numFmtId="0" fontId="45" fillId="0" borderId="62" xfId="111" applyFont="1" applyFill="1" applyBorder="1" applyAlignment="1">
      <alignment horizontal="left" vertical="center" wrapText="1" indent="1"/>
      <protection/>
    </xf>
    <xf numFmtId="169" fontId="4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5" xfId="122" applyNumberFormat="1" applyFont="1" applyFill="1" applyBorder="1" applyAlignment="1">
      <alignment horizontal="right" vertical="center" wrapText="1" indent="1"/>
    </xf>
    <xf numFmtId="10" fontId="45" fillId="0" borderId="24" xfId="122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59" xfId="111" applyFont="1" applyFill="1" applyBorder="1" applyAlignment="1">
      <alignment horizontal="left" vertical="center" wrapText="1" indent="1"/>
      <protection/>
    </xf>
    <xf numFmtId="10" fontId="53" fillId="0" borderId="27" xfId="122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39" xfId="111" applyFont="1" applyFill="1" applyBorder="1" applyAlignment="1">
      <alignment horizontal="left" vertical="center" wrapText="1" indent="1"/>
      <protection/>
    </xf>
    <xf numFmtId="0" fontId="45" fillId="0" borderId="27" xfId="0" applyFont="1" applyFill="1" applyBorder="1" applyAlignment="1">
      <alignment horizontal="center" vertical="center" wrapText="1"/>
    </xf>
    <xf numFmtId="0" fontId="49" fillId="0" borderId="59" xfId="0" applyFont="1" applyFill="1" applyBorder="1" applyAlignment="1">
      <alignment horizontal="left" vertical="center" wrapText="1" indent="1"/>
    </xf>
    <xf numFmtId="10" fontId="53" fillId="0" borderId="44" xfId="122" applyNumberFormat="1" applyFont="1" applyFill="1" applyBorder="1" applyAlignment="1">
      <alignment horizontal="right" vertical="center" wrapText="1" indent="1"/>
    </xf>
    <xf numFmtId="10" fontId="53" fillId="0" borderId="49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left" vertical="center" wrapText="1"/>
    </xf>
    <xf numFmtId="0" fontId="0" fillId="0" borderId="64" xfId="0" applyFill="1" applyBorder="1" applyAlignment="1">
      <alignment horizontal="right" vertical="center" wrapText="1" indent="1"/>
    </xf>
    <xf numFmtId="10" fontId="0" fillId="0" borderId="74" xfId="122" applyNumberFormat="1" applyFont="1" applyFill="1" applyBorder="1" applyAlignment="1">
      <alignment horizontal="right" vertical="center" wrapText="1" indent="1"/>
    </xf>
    <xf numFmtId="0" fontId="0" fillId="0" borderId="93" xfId="0" applyFill="1" applyBorder="1" applyAlignment="1">
      <alignment horizontal="right" vertical="center" wrapText="1" indent="1"/>
    </xf>
    <xf numFmtId="0" fontId="0" fillId="0" borderId="75" xfId="0" applyFill="1" applyBorder="1" applyAlignment="1">
      <alignment vertical="center" wrapText="1"/>
    </xf>
    <xf numFmtId="0" fontId="28" fillId="0" borderId="44" xfId="0" applyFont="1" applyFill="1" applyBorder="1" applyAlignment="1">
      <alignment horizontal="left" vertical="center"/>
    </xf>
    <xf numFmtId="0" fontId="59" fillId="0" borderId="39" xfId="0" applyFont="1" applyFill="1" applyBorder="1" applyAlignment="1">
      <alignment vertical="center" wrapText="1"/>
    </xf>
    <xf numFmtId="0" fontId="28" fillId="0" borderId="39" xfId="0" applyFont="1" applyFill="1" applyBorder="1" applyAlignment="1">
      <alignment vertical="center" wrapText="1"/>
    </xf>
    <xf numFmtId="3" fontId="2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9" fontId="0" fillId="0" borderId="0" xfId="0" applyNumberFormat="1" applyFill="1" applyAlignment="1">
      <alignment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wrapText="1"/>
    </xf>
    <xf numFmtId="0" fontId="7" fillId="0" borderId="125" xfId="0" applyFont="1" applyBorder="1" applyAlignment="1">
      <alignment horizontal="left" wrapText="1"/>
    </xf>
    <xf numFmtId="0" fontId="7" fillId="0" borderId="68" xfId="0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 wrapText="1"/>
    </xf>
    <xf numFmtId="0" fontId="7" fillId="0" borderId="94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1" xfId="0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wrapText="1"/>
    </xf>
    <xf numFmtId="0" fontId="7" fillId="0" borderId="34" xfId="0" applyFont="1" applyBorder="1" applyAlignment="1">
      <alignment wrapText="1"/>
    </xf>
    <xf numFmtId="0" fontId="7" fillId="0" borderId="68" xfId="0" applyFont="1" applyBorder="1" applyAlignment="1">
      <alignment wrapText="1"/>
    </xf>
    <xf numFmtId="0" fontId="7" fillId="0" borderId="65" xfId="0" applyFont="1" applyBorder="1" applyAlignment="1">
      <alignment horizontal="left" wrapText="1"/>
    </xf>
    <xf numFmtId="0" fontId="7" fillId="0" borderId="94" xfId="0" applyFont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46" fillId="0" borderId="0" xfId="111" applyFont="1" applyAlignment="1">
      <alignment horizontal="center" wrapText="1"/>
      <protection/>
    </xf>
    <xf numFmtId="0" fontId="60" fillId="0" borderId="0" xfId="111" applyFont="1" applyAlignment="1">
      <alignment horizontal="left"/>
      <protection/>
    </xf>
    <xf numFmtId="169" fontId="60" fillId="0" borderId="52" xfId="111" applyNumberFormat="1" applyFont="1" applyBorder="1" applyAlignment="1">
      <alignment horizontal="left" vertical="center"/>
      <protection/>
    </xf>
    <xf numFmtId="0" fontId="46" fillId="0" borderId="0" xfId="111" applyFont="1" applyAlignment="1">
      <alignment horizontal="center"/>
      <protection/>
    </xf>
    <xf numFmtId="0" fontId="29" fillId="0" borderId="70" xfId="111" applyFont="1" applyBorder="1" applyAlignment="1">
      <alignment horizontal="left" vertical="center" wrapText="1"/>
      <protection/>
    </xf>
    <xf numFmtId="0" fontId="29" fillId="0" borderId="51" xfId="111" applyFont="1" applyBorder="1" applyAlignment="1">
      <alignment horizontal="left" vertical="center" wrapText="1"/>
      <protection/>
    </xf>
    <xf numFmtId="0" fontId="29" fillId="0" borderId="90" xfId="111" applyFont="1" applyBorder="1" applyAlignment="1">
      <alignment horizontal="left" vertical="center" wrapText="1"/>
      <protection/>
    </xf>
    <xf numFmtId="49" fontId="7" fillId="0" borderId="63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/>
    </xf>
    <xf numFmtId="49" fontId="3" fillId="0" borderId="66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0" fontId="43" fillId="0" borderId="24" xfId="111" applyFont="1" applyBorder="1" applyAlignment="1">
      <alignment horizontal="left"/>
      <protection/>
    </xf>
    <xf numFmtId="0" fontId="29" fillId="0" borderId="24" xfId="111" applyFont="1" applyBorder="1" applyAlignment="1">
      <alignment horizontal="left"/>
      <protection/>
    </xf>
    <xf numFmtId="0" fontId="65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/>
    </xf>
    <xf numFmtId="0" fontId="27" fillId="0" borderId="59" xfId="111" applyFont="1" applyBorder="1" applyAlignment="1">
      <alignment horizontal="left" vertical="center" wrapText="1"/>
      <protection/>
    </xf>
    <xf numFmtId="0" fontId="27" fillId="0" borderId="39" xfId="111" applyFont="1" applyBorder="1" applyAlignment="1">
      <alignment horizontal="left" vertical="center" wrapText="1"/>
      <protection/>
    </xf>
    <xf numFmtId="0" fontId="27" fillId="0" borderId="54" xfId="111" applyFont="1" applyBorder="1" applyAlignment="1">
      <alignment horizontal="left" vertical="center" wrapText="1"/>
      <protection/>
    </xf>
    <xf numFmtId="169" fontId="60" fillId="0" borderId="0" xfId="111" applyNumberFormat="1" applyFont="1" applyAlignment="1">
      <alignment horizontal="left" vertical="center"/>
      <protection/>
    </xf>
    <xf numFmtId="0" fontId="29" fillId="0" borderId="62" xfId="111" applyFont="1" applyBorder="1" applyAlignment="1">
      <alignment horizontal="left" vertical="center" wrapText="1"/>
      <protection/>
    </xf>
    <xf numFmtId="0" fontId="29" fillId="0" borderId="34" xfId="111" applyFont="1" applyBorder="1" applyAlignment="1">
      <alignment horizontal="left" vertical="center" wrapText="1"/>
      <protection/>
    </xf>
    <xf numFmtId="0" fontId="29" fillId="0" borderId="89" xfId="111" applyFont="1" applyBorder="1" applyAlignment="1">
      <alignment horizontal="left" vertical="center" wrapText="1"/>
      <protection/>
    </xf>
    <xf numFmtId="0" fontId="29" fillId="0" borderId="71" xfId="111" applyFont="1" applyBorder="1" applyAlignment="1">
      <alignment horizontal="left" vertical="center" wrapText="1"/>
      <protection/>
    </xf>
    <xf numFmtId="0" fontId="29" fillId="0" borderId="52" xfId="111" applyFont="1" applyBorder="1" applyAlignment="1">
      <alignment horizontal="left" vertical="center" wrapText="1"/>
      <protection/>
    </xf>
    <xf numFmtId="0" fontId="29" fillId="0" borderId="91" xfId="111" applyFont="1" applyBorder="1" applyAlignment="1">
      <alignment horizontal="left" vertical="center" wrapText="1"/>
      <protection/>
    </xf>
    <xf numFmtId="0" fontId="43" fillId="0" borderId="20" xfId="111" applyFont="1" applyBorder="1" applyAlignment="1">
      <alignment horizontal="left"/>
      <protection/>
    </xf>
    <xf numFmtId="0" fontId="29" fillId="0" borderId="72" xfId="111" applyFont="1" applyBorder="1" applyAlignment="1">
      <alignment horizontal="left" vertical="center" wrapText="1"/>
      <protection/>
    </xf>
    <xf numFmtId="0" fontId="29" fillId="0" borderId="65" xfId="111" applyFont="1" applyBorder="1" applyAlignment="1">
      <alignment horizontal="left" vertical="center" wrapText="1"/>
      <protection/>
    </xf>
    <xf numFmtId="0" fontId="29" fillId="0" borderId="92" xfId="111" applyFont="1" applyBorder="1" applyAlignment="1">
      <alignment horizontal="left" vertical="center" wrapText="1"/>
      <protection/>
    </xf>
    <xf numFmtId="0" fontId="27" fillId="0" borderId="30" xfId="111" applyFont="1" applyBorder="1" applyAlignment="1">
      <alignment horizontal="left"/>
      <protection/>
    </xf>
    <xf numFmtId="0" fontId="21" fillId="0" borderId="0" xfId="108" applyFont="1" applyAlignment="1">
      <alignment horizontal="center" vertical="center"/>
      <protection/>
    </xf>
    <xf numFmtId="0" fontId="22" fillId="0" borderId="52" xfId="108" applyFont="1" applyBorder="1" applyAlignment="1">
      <alignment horizontal="center" vertical="center"/>
      <protection/>
    </xf>
    <xf numFmtId="0" fontId="22" fillId="0" borderId="0" xfId="108" applyFont="1" applyAlignment="1">
      <alignment horizontal="center" vertical="center"/>
      <protection/>
    </xf>
    <xf numFmtId="0" fontId="90" fillId="0" borderId="0" xfId="108" applyFont="1" applyAlignment="1">
      <alignment horizontal="right" vertical="center"/>
      <protection/>
    </xf>
    <xf numFmtId="3" fontId="91" fillId="0" borderId="0" xfId="0" applyNumberFormat="1" applyFont="1" applyAlignment="1">
      <alignment horizontal="right"/>
    </xf>
    <xf numFmtId="0" fontId="40" fillId="0" borderId="0" xfId="0" applyFont="1" applyAlignment="1">
      <alignment horizontal="center" vertical="center"/>
    </xf>
    <xf numFmtId="3" fontId="92" fillId="0" borderId="0" xfId="0" applyNumberFormat="1" applyFont="1" applyAlignment="1">
      <alignment horizontal="right" vertical="center"/>
    </xf>
    <xf numFmtId="3" fontId="25" fillId="0" borderId="52" xfId="0" applyNumberFormat="1" applyFont="1" applyBorder="1" applyAlignment="1">
      <alignment horizontal="right" vertical="center"/>
    </xf>
    <xf numFmtId="49" fontId="7" fillId="0" borderId="65" xfId="0" applyNumberFormat="1" applyFont="1" applyBorder="1" applyAlignment="1">
      <alignment horizontal="left" vertical="center" wrapText="1"/>
    </xf>
    <xf numFmtId="49" fontId="7" fillId="0" borderId="94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/>
    </xf>
    <xf numFmtId="0" fontId="49" fillId="0" borderId="32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169" fontId="84" fillId="0" borderId="0" xfId="0" applyNumberFormat="1" applyFont="1" applyFill="1" applyAlignment="1">
      <alignment horizontal="right" vertical="center" wrapText="1"/>
    </xf>
    <xf numFmtId="0" fontId="49" fillId="0" borderId="54" xfId="0" applyFont="1" applyFill="1" applyBorder="1" applyAlignment="1">
      <alignment horizontal="center" vertical="center" wrapText="1"/>
    </xf>
    <xf numFmtId="0" fontId="6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49" fillId="0" borderId="59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169" fontId="84" fillId="0" borderId="0" xfId="0" applyNumberFormat="1" applyFont="1" applyAlignment="1">
      <alignment horizontal="right" vertical="center" wrapText="1"/>
    </xf>
    <xf numFmtId="0" fontId="28" fillId="0" borderId="44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6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3" fontId="16" fillId="0" borderId="44" xfId="108" applyNumberFormat="1" applyFont="1" applyFill="1" applyBorder="1" applyAlignment="1">
      <alignment horizontal="center" vertical="center"/>
      <protection/>
    </xf>
    <xf numFmtId="3" fontId="16" fillId="0" borderId="27" xfId="108" applyNumberFormat="1" applyFont="1" applyFill="1" applyBorder="1" applyAlignment="1">
      <alignment horizontal="center" vertical="center"/>
      <protection/>
    </xf>
    <xf numFmtId="3" fontId="16" fillId="0" borderId="45" xfId="108" applyNumberFormat="1" applyFont="1" applyFill="1" applyBorder="1" applyAlignment="1">
      <alignment horizontal="center" vertical="center"/>
      <protection/>
    </xf>
    <xf numFmtId="0" fontId="16" fillId="0" borderId="44" xfId="108" applyFont="1" applyFill="1" applyBorder="1" applyAlignment="1">
      <alignment horizontal="center" vertical="center"/>
      <protection/>
    </xf>
    <xf numFmtId="0" fontId="16" fillId="0" borderId="27" xfId="108" applyFont="1" applyFill="1" applyBorder="1" applyAlignment="1">
      <alignment horizontal="center" vertical="center"/>
      <protection/>
    </xf>
    <xf numFmtId="0" fontId="16" fillId="0" borderId="45" xfId="108" applyFont="1" applyFill="1" applyBorder="1" applyAlignment="1">
      <alignment horizontal="center" vertical="center"/>
      <protection/>
    </xf>
    <xf numFmtId="0" fontId="12" fillId="0" borderId="32" xfId="108" applyFont="1" applyFill="1" applyBorder="1" applyAlignment="1">
      <alignment horizontal="center" vertical="center"/>
      <protection/>
    </xf>
    <xf numFmtId="0" fontId="12" fillId="0" borderId="54" xfId="108" applyFont="1" applyFill="1" applyBorder="1" applyAlignment="1">
      <alignment horizontal="center" vertical="center"/>
      <protection/>
    </xf>
    <xf numFmtId="0" fontId="14" fillId="0" borderId="0" xfId="108" applyFont="1" applyFill="1" applyAlignment="1">
      <alignment horizontal="center" vertical="center"/>
      <protection/>
    </xf>
    <xf numFmtId="0" fontId="12" fillId="0" borderId="39" xfId="108" applyFont="1" applyFill="1" applyBorder="1" applyAlignment="1">
      <alignment horizontal="center" vertical="center"/>
      <protection/>
    </xf>
    <xf numFmtId="0" fontId="17" fillId="0" borderId="52" xfId="108" applyFont="1" applyBorder="1" applyAlignment="1">
      <alignment horizontal="right"/>
      <protection/>
    </xf>
    <xf numFmtId="0" fontId="3" fillId="0" borderId="32" xfId="108" applyFont="1" applyBorder="1" applyAlignment="1">
      <alignment horizontal="center" vertical="center"/>
      <protection/>
    </xf>
    <xf numFmtId="0" fontId="3" fillId="0" borderId="54" xfId="108" applyFont="1" applyBorder="1" applyAlignment="1">
      <alignment horizontal="center" vertical="center"/>
      <protection/>
    </xf>
    <xf numFmtId="0" fontId="18" fillId="0" borderId="0" xfId="108" applyFont="1" applyAlignment="1">
      <alignment horizontal="center"/>
      <protection/>
    </xf>
    <xf numFmtId="0" fontId="17" fillId="0" borderId="0" xfId="108" applyFont="1" applyAlignment="1">
      <alignment horizontal="right"/>
      <protection/>
    </xf>
    <xf numFmtId="0" fontId="12" fillId="0" borderId="0" xfId="108" applyFont="1" applyAlignment="1">
      <alignment horizontal="center"/>
      <protection/>
    </xf>
    <xf numFmtId="0" fontId="73" fillId="0" borderId="0" xfId="108" applyFont="1" applyAlignment="1">
      <alignment horizontal="center"/>
      <protection/>
    </xf>
    <xf numFmtId="0" fontId="19" fillId="0" borderId="0" xfId="108" applyFont="1" applyAlignment="1">
      <alignment horizontal="center"/>
      <protection/>
    </xf>
    <xf numFmtId="3" fontId="89" fillId="0" borderId="0" xfId="108" applyNumberFormat="1" applyFont="1" applyAlignment="1">
      <alignment horizontal="right"/>
      <protection/>
    </xf>
    <xf numFmtId="0" fontId="77" fillId="0" borderId="39" xfId="110" applyFont="1" applyBorder="1" applyAlignment="1">
      <alignment horizontal="center" vertical="center" wrapText="1"/>
      <protection/>
    </xf>
    <xf numFmtId="168" fontId="75" fillId="0" borderId="62" xfId="110" applyNumberFormat="1" applyFont="1" applyBorder="1" applyAlignment="1">
      <alignment horizontal="left" wrapText="1"/>
      <protection/>
    </xf>
    <xf numFmtId="168" fontId="75" fillId="0" borderId="68" xfId="110" applyNumberFormat="1" applyFont="1" applyBorder="1" applyAlignment="1">
      <alignment horizontal="left" wrapText="1"/>
      <protection/>
    </xf>
    <xf numFmtId="3" fontId="89" fillId="0" borderId="52" xfId="108" applyNumberFormat="1" applyFont="1" applyBorder="1" applyAlignment="1">
      <alignment horizontal="right"/>
      <protection/>
    </xf>
    <xf numFmtId="168" fontId="75" fillId="0" borderId="34" xfId="110" applyNumberFormat="1" applyFont="1" applyBorder="1" applyAlignment="1">
      <alignment horizontal="left" wrapText="1"/>
      <protection/>
    </xf>
    <xf numFmtId="168" fontId="75" fillId="0" borderId="72" xfId="110" applyNumberFormat="1" applyFont="1" applyBorder="1" applyAlignment="1">
      <alignment horizontal="left" wrapText="1"/>
      <protection/>
    </xf>
    <xf numFmtId="168" fontId="75" fillId="0" borderId="65" xfId="110" applyNumberFormat="1" applyFont="1" applyBorder="1" applyAlignment="1">
      <alignment horizontal="left" wrapText="1"/>
      <protection/>
    </xf>
    <xf numFmtId="0" fontId="75" fillId="0" borderId="34" xfId="110" applyFont="1" applyBorder="1" applyAlignment="1">
      <alignment horizontal="left"/>
      <protection/>
    </xf>
    <xf numFmtId="0" fontId="75" fillId="0" borderId="62" xfId="110" applyFont="1" applyBorder="1" applyAlignment="1">
      <alignment horizontal="left" vertical="center" wrapText="1"/>
      <protection/>
    </xf>
    <xf numFmtId="0" fontId="75" fillId="0" borderId="34" xfId="110" applyFont="1" applyBorder="1" applyAlignment="1">
      <alignment horizontal="left" vertical="center" wrapText="1"/>
      <protection/>
    </xf>
    <xf numFmtId="168" fontId="74" fillId="0" borderId="39" xfId="110" applyNumberFormat="1" applyFont="1" applyBorder="1" applyAlignment="1">
      <alignment horizontal="center" vertical="center" wrapText="1"/>
      <protection/>
    </xf>
    <xf numFmtId="3" fontId="74" fillId="0" borderId="44" xfId="110" applyNumberFormat="1" applyFont="1" applyBorder="1" applyAlignment="1">
      <alignment horizontal="center" vertical="center" wrapText="1"/>
      <protection/>
    </xf>
    <xf numFmtId="3" fontId="74" fillId="0" borderId="27" xfId="110" applyNumberFormat="1" applyFont="1" applyBorder="1" applyAlignment="1">
      <alignment horizontal="center" vertical="center" wrapText="1"/>
      <protection/>
    </xf>
    <xf numFmtId="3" fontId="74" fillId="0" borderId="45" xfId="110" applyNumberFormat="1" applyFont="1" applyBorder="1" applyAlignment="1">
      <alignment horizontal="center" vertical="center" wrapText="1"/>
      <protection/>
    </xf>
    <xf numFmtId="0" fontId="72" fillId="0" borderId="0" xfId="108" applyFont="1" applyAlignment="1">
      <alignment horizontal="center"/>
      <protection/>
    </xf>
    <xf numFmtId="0" fontId="75" fillId="0" borderId="51" xfId="110" applyFont="1" applyBorder="1" applyAlignment="1">
      <alignment horizontal="left"/>
      <protection/>
    </xf>
    <xf numFmtId="0" fontId="78" fillId="0" borderId="52" xfId="108" applyFont="1" applyBorder="1" applyAlignment="1">
      <alignment horizontal="center" vertical="center" wrapText="1"/>
      <protection/>
    </xf>
    <xf numFmtId="0" fontId="23" fillId="50" borderId="79" xfId="108" applyFont="1" applyFill="1" applyBorder="1" applyAlignment="1">
      <alignment horizontal="center" vertical="center" wrapText="1"/>
      <protection/>
    </xf>
    <xf numFmtId="0" fontId="23" fillId="50" borderId="33" xfId="108" applyFont="1" applyFill="1" applyBorder="1" applyAlignment="1">
      <alignment horizontal="center" vertical="center" wrapText="1"/>
      <protection/>
    </xf>
    <xf numFmtId="0" fontId="23" fillId="50" borderId="86" xfId="108" applyFont="1" applyFill="1" applyBorder="1" applyAlignment="1">
      <alignment horizontal="center" vertical="center" wrapText="1"/>
      <protection/>
    </xf>
    <xf numFmtId="0" fontId="23" fillId="50" borderId="43" xfId="108" applyFont="1" applyFill="1" applyBorder="1" applyAlignment="1">
      <alignment horizontal="center" vertical="center" wrapText="1"/>
      <protection/>
    </xf>
    <xf numFmtId="0" fontId="23" fillId="50" borderId="74" xfId="108" applyFont="1" applyFill="1" applyBorder="1" applyAlignment="1">
      <alignment horizontal="center" vertical="center" wrapText="1"/>
      <protection/>
    </xf>
    <xf numFmtId="0" fontId="23" fillId="50" borderId="126" xfId="108" applyFont="1" applyFill="1" applyBorder="1" applyAlignment="1">
      <alignment horizontal="center" vertical="center" wrapText="1"/>
      <protection/>
    </xf>
    <xf numFmtId="3" fontId="23" fillId="50" borderId="69" xfId="108" applyNumberFormat="1" applyFont="1" applyFill="1" applyBorder="1" applyAlignment="1">
      <alignment horizontal="center" vertical="center" wrapText="1"/>
      <protection/>
    </xf>
    <xf numFmtId="3" fontId="23" fillId="50" borderId="66" xfId="108" applyNumberFormat="1" applyFont="1" applyFill="1" applyBorder="1" applyAlignment="1">
      <alignment horizontal="center" vertical="center" wrapText="1"/>
      <protection/>
    </xf>
    <xf numFmtId="3" fontId="23" fillId="50" borderId="56" xfId="108" applyNumberFormat="1" applyFont="1" applyFill="1" applyBorder="1" applyAlignment="1">
      <alignment horizontal="center" vertical="center" wrapText="1"/>
      <protection/>
    </xf>
    <xf numFmtId="3" fontId="23" fillId="50" borderId="95" xfId="108" applyNumberFormat="1" applyFont="1" applyFill="1" applyBorder="1" applyAlignment="1">
      <alignment horizontal="center" vertical="center" wrapText="1"/>
      <protection/>
    </xf>
    <xf numFmtId="3" fontId="23" fillId="50" borderId="0" xfId="108" applyNumberFormat="1" applyFont="1" applyFill="1" applyAlignment="1">
      <alignment horizontal="center" vertical="center" wrapText="1"/>
      <protection/>
    </xf>
    <xf numFmtId="3" fontId="23" fillId="50" borderId="88" xfId="108" applyNumberFormat="1" applyFont="1" applyFill="1" applyBorder="1" applyAlignment="1">
      <alignment horizontal="center" vertical="center" wrapText="1"/>
      <protection/>
    </xf>
    <xf numFmtId="3" fontId="23" fillId="50" borderId="127" xfId="108" applyNumberFormat="1" applyFont="1" applyFill="1" applyBorder="1" applyAlignment="1">
      <alignment horizontal="center" vertical="center" wrapText="1"/>
      <protection/>
    </xf>
    <xf numFmtId="3" fontId="23" fillId="50" borderId="128" xfId="108" applyNumberFormat="1" applyFont="1" applyFill="1" applyBorder="1" applyAlignment="1">
      <alignment horizontal="center" vertical="center" wrapText="1"/>
      <protection/>
    </xf>
    <xf numFmtId="3" fontId="23" fillId="50" borderId="129" xfId="108" applyNumberFormat="1" applyFont="1" applyFill="1" applyBorder="1" applyAlignment="1">
      <alignment horizontal="center" vertical="center" wrapText="1"/>
      <protection/>
    </xf>
    <xf numFmtId="3" fontId="23" fillId="50" borderId="73" xfId="108" applyNumberFormat="1" applyFont="1" applyFill="1" applyBorder="1" applyAlignment="1">
      <alignment horizontal="center" vertical="center" wrapText="1"/>
      <protection/>
    </xf>
    <xf numFmtId="3" fontId="23" fillId="50" borderId="93" xfId="108" applyNumberFormat="1" applyFont="1" applyFill="1" applyBorder="1" applyAlignment="1">
      <alignment horizontal="center" vertical="center" wrapText="1"/>
      <protection/>
    </xf>
    <xf numFmtId="3" fontId="23" fillId="50" borderId="130" xfId="108" applyNumberFormat="1" applyFont="1" applyFill="1" applyBorder="1" applyAlignment="1">
      <alignment horizontal="center" vertical="center" wrapText="1"/>
      <protection/>
    </xf>
    <xf numFmtId="3" fontId="89" fillId="0" borderId="0" xfId="108" applyNumberFormat="1" applyFont="1" applyAlignment="1">
      <alignment horizontal="right" vertical="center"/>
      <protection/>
    </xf>
    <xf numFmtId="3" fontId="17" fillId="0" borderId="52" xfId="108" applyNumberFormat="1" applyFont="1" applyBorder="1" applyAlignment="1">
      <alignment horizontal="right" vertical="center"/>
      <protection/>
    </xf>
    <xf numFmtId="0" fontId="78" fillId="0" borderId="0" xfId="108" applyFont="1" applyAlignment="1">
      <alignment horizontal="center" vertical="center" wrapText="1"/>
      <protection/>
    </xf>
    <xf numFmtId="0" fontId="12" fillId="0" borderId="0" xfId="108" applyFont="1" applyAlignment="1">
      <alignment horizontal="center" vertical="center"/>
      <protection/>
    </xf>
    <xf numFmtId="0" fontId="76" fillId="0" borderId="0" xfId="108" applyFont="1" applyAlignment="1">
      <alignment horizontal="center" vertical="center"/>
      <protection/>
    </xf>
    <xf numFmtId="0" fontId="93" fillId="0" borderId="0" xfId="108" applyFont="1" applyAlignment="1">
      <alignment horizontal="right"/>
      <protection/>
    </xf>
    <xf numFmtId="0" fontId="14" fillId="0" borderId="0" xfId="108" applyFont="1" applyAlignment="1">
      <alignment horizontal="center" wrapText="1"/>
      <protection/>
    </xf>
    <xf numFmtId="0" fontId="12" fillId="0" borderId="48" xfId="108" applyFont="1" applyBorder="1" applyAlignment="1">
      <alignment horizontal="center" vertical="center" wrapText="1"/>
      <protection/>
    </xf>
    <xf numFmtId="0" fontId="12" fillId="0" borderId="26" xfId="108" applyFont="1" applyBorder="1" applyAlignment="1">
      <alignment horizontal="center" vertical="center" wrapText="1"/>
      <protection/>
    </xf>
    <xf numFmtId="0" fontId="12" fillId="0" borderId="70" xfId="108" applyFont="1" applyBorder="1" applyAlignment="1">
      <alignment horizontal="center" vertical="center"/>
      <protection/>
    </xf>
    <xf numFmtId="0" fontId="12" fillId="0" borderId="51" xfId="108" applyFont="1" applyBorder="1" applyAlignment="1">
      <alignment horizontal="center" vertical="center"/>
      <protection/>
    </xf>
    <xf numFmtId="0" fontId="12" fillId="0" borderId="22" xfId="108" applyFont="1" applyBorder="1" applyAlignment="1">
      <alignment horizontal="center" vertical="center"/>
      <protection/>
    </xf>
    <xf numFmtId="0" fontId="12" fillId="0" borderId="30" xfId="108" applyFont="1" applyBorder="1" applyAlignment="1">
      <alignment horizontal="center" vertical="center"/>
      <protection/>
    </xf>
    <xf numFmtId="0" fontId="12" fillId="0" borderId="46" xfId="108" applyFont="1" applyBorder="1" applyAlignment="1">
      <alignment horizontal="center" vertical="center"/>
      <protection/>
    </xf>
    <xf numFmtId="0" fontId="12" fillId="0" borderId="62" xfId="108" applyFont="1" applyBorder="1" applyAlignment="1">
      <alignment horizontal="center" vertical="center"/>
      <protection/>
    </xf>
    <xf numFmtId="0" fontId="12" fillId="0" borderId="34" xfId="108" applyFont="1" applyBorder="1" applyAlignment="1">
      <alignment horizontal="center" vertical="center"/>
      <protection/>
    </xf>
    <xf numFmtId="0" fontId="12" fillId="0" borderId="89" xfId="108" applyFont="1" applyBorder="1" applyAlignment="1">
      <alignment horizontal="center" vertical="center"/>
      <protection/>
    </xf>
    <xf numFmtId="0" fontId="12" fillId="0" borderId="19" xfId="108" applyFont="1" applyBorder="1" applyAlignment="1">
      <alignment horizontal="center" vertical="center"/>
      <protection/>
    </xf>
    <xf numFmtId="0" fontId="12" fillId="0" borderId="24" xfId="108" applyFont="1" applyBorder="1" applyAlignment="1">
      <alignment horizontal="center" vertical="center"/>
      <protection/>
    </xf>
    <xf numFmtId="0" fontId="12" fillId="0" borderId="25" xfId="108" applyFont="1" applyBorder="1" applyAlignment="1">
      <alignment horizontal="center" vertical="center"/>
      <protection/>
    </xf>
    <xf numFmtId="0" fontId="12" fillId="1" borderId="24" xfId="108" applyFont="1" applyFill="1" applyBorder="1" applyAlignment="1">
      <alignment horizontal="center" vertical="center"/>
      <protection/>
    </xf>
    <xf numFmtId="0" fontId="12" fillId="1" borderId="62" xfId="108" applyFont="1" applyFill="1" applyBorder="1" applyAlignment="1">
      <alignment horizontal="center" vertical="center"/>
      <protection/>
    </xf>
    <xf numFmtId="0" fontId="12" fillId="1" borderId="25" xfId="108" applyFont="1" applyFill="1" applyBorder="1" applyAlignment="1">
      <alignment horizontal="center" vertical="center"/>
      <protection/>
    </xf>
    <xf numFmtId="0" fontId="12" fillId="1" borderId="48" xfId="108" applyFont="1" applyFill="1" applyBorder="1" applyAlignment="1">
      <alignment horizontal="center" vertical="center" wrapText="1"/>
      <protection/>
    </xf>
    <xf numFmtId="0" fontId="12" fillId="1" borderId="26" xfId="108" applyFont="1" applyFill="1" applyBorder="1" applyAlignment="1">
      <alignment horizontal="center" vertical="center" wrapText="1"/>
      <protection/>
    </xf>
    <xf numFmtId="0" fontId="12" fillId="1" borderId="70" xfId="108" applyFont="1" applyFill="1" applyBorder="1" applyAlignment="1">
      <alignment horizontal="center" vertical="center"/>
      <protection/>
    </xf>
    <xf numFmtId="0" fontId="12" fillId="1" borderId="51" xfId="108" applyFont="1" applyFill="1" applyBorder="1" applyAlignment="1">
      <alignment horizontal="center" vertical="center"/>
      <protection/>
    </xf>
    <xf numFmtId="0" fontId="12" fillId="1" borderId="22" xfId="108" applyFont="1" applyFill="1" applyBorder="1" applyAlignment="1">
      <alignment horizontal="center" vertical="center"/>
      <protection/>
    </xf>
    <xf numFmtId="0" fontId="12" fillId="1" borderId="30" xfId="108" applyFont="1" applyFill="1" applyBorder="1" applyAlignment="1">
      <alignment horizontal="center" vertical="center"/>
      <protection/>
    </xf>
    <xf numFmtId="0" fontId="12" fillId="1" borderId="46" xfId="108" applyFont="1" applyFill="1" applyBorder="1" applyAlignment="1">
      <alignment horizontal="center" vertical="center"/>
      <protection/>
    </xf>
    <xf numFmtId="0" fontId="12" fillId="1" borderId="34" xfId="108" applyFont="1" applyFill="1" applyBorder="1" applyAlignment="1">
      <alignment horizontal="center" vertical="center"/>
      <protection/>
    </xf>
    <xf numFmtId="0" fontId="12" fillId="1" borderId="89" xfId="108" applyFont="1" applyFill="1" applyBorder="1" applyAlignment="1">
      <alignment horizontal="center" vertical="center"/>
      <protection/>
    </xf>
    <xf numFmtId="0" fontId="21" fillId="0" borderId="0" xfId="108" applyFont="1" applyAlignment="1">
      <alignment horizontal="center"/>
      <protection/>
    </xf>
    <xf numFmtId="0" fontId="12" fillId="1" borderId="33" xfId="108" applyFont="1" applyFill="1" applyBorder="1" applyAlignment="1">
      <alignment horizontal="center" vertical="center"/>
      <protection/>
    </xf>
    <xf numFmtId="0" fontId="12" fillId="1" borderId="19" xfId="108" applyFont="1" applyFill="1" applyBorder="1" applyAlignment="1">
      <alignment horizontal="center" vertical="center"/>
      <protection/>
    </xf>
    <xf numFmtId="0" fontId="14" fillId="0" borderId="0" xfId="108" applyFont="1" applyAlignment="1">
      <alignment horizontal="center"/>
      <protection/>
    </xf>
    <xf numFmtId="0" fontId="24" fillId="0" borderId="70" xfId="109" applyFont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125" xfId="0" applyBorder="1" applyAlignment="1">
      <alignment/>
    </xf>
    <xf numFmtId="16" fontId="34" fillId="0" borderId="0" xfId="109" applyNumberFormat="1" applyFont="1" applyAlignment="1">
      <alignment horizontal="center" vertical="center" wrapText="1"/>
      <protection/>
    </xf>
    <xf numFmtId="0" fontId="24" fillId="0" borderId="79" xfId="109" applyFont="1" applyBorder="1" applyAlignment="1">
      <alignment horizontal="center" vertical="center" wrapText="1"/>
      <protection/>
    </xf>
    <xf numFmtId="0" fontId="64" fillId="0" borderId="0" xfId="109" applyFont="1" applyAlignment="1">
      <alignment horizontal="right" vertical="center"/>
      <protection/>
    </xf>
    <xf numFmtId="0" fontId="34" fillId="0" borderId="0" xfId="109" applyFont="1" applyAlignment="1">
      <alignment horizontal="center" vertical="center"/>
      <protection/>
    </xf>
    <xf numFmtId="0" fontId="24" fillId="0" borderId="32" xfId="109" applyFont="1" applyBorder="1" applyAlignment="1">
      <alignment horizontal="left" vertical="center"/>
      <protection/>
    </xf>
    <xf numFmtId="0" fontId="24" fillId="0" borderId="39" xfId="109" applyFont="1" applyBorder="1" applyAlignment="1">
      <alignment horizontal="left" vertical="center"/>
      <protection/>
    </xf>
    <xf numFmtId="0" fontId="24" fillId="0" borderId="54" xfId="109" applyFont="1" applyBorder="1" applyAlignment="1">
      <alignment horizontal="left" vertical="center"/>
      <protection/>
    </xf>
    <xf numFmtId="1" fontId="35" fillId="0" borderId="32" xfId="109" applyNumberFormat="1" applyFont="1" applyBorder="1" applyAlignment="1">
      <alignment horizontal="center" vertical="center" wrapText="1"/>
      <protection/>
    </xf>
    <xf numFmtId="1" fontId="35" fillId="0" borderId="39" xfId="109" applyNumberFormat="1" applyFont="1" applyBorder="1" applyAlignment="1">
      <alignment horizontal="center" vertical="center" wrapText="1"/>
      <protection/>
    </xf>
    <xf numFmtId="1" fontId="35" fillId="0" borderId="49" xfId="109" applyNumberFormat="1" applyFont="1" applyBorder="1" applyAlignment="1">
      <alignment horizontal="center" vertical="center" wrapText="1"/>
      <protection/>
    </xf>
    <xf numFmtId="0" fontId="24" fillId="0" borderId="48" xfId="109" applyFont="1" applyBorder="1" applyAlignment="1">
      <alignment horizontal="center" vertical="center" wrapText="1"/>
      <protection/>
    </xf>
    <xf numFmtId="0" fontId="24" fillId="0" borderId="40" xfId="109" applyFont="1" applyBorder="1" applyAlignment="1">
      <alignment horizontal="center" vertical="center" wrapText="1"/>
      <protection/>
    </xf>
    <xf numFmtId="0" fontId="89" fillId="0" borderId="0" xfId="99" applyFont="1" applyAlignment="1">
      <alignment horizontal="right"/>
      <protection/>
    </xf>
    <xf numFmtId="0" fontId="13" fillId="0" borderId="0" xfId="99" applyFont="1" applyAlignment="1">
      <alignment horizontal="center"/>
      <protection/>
    </xf>
    <xf numFmtId="0" fontId="89" fillId="0" borderId="36" xfId="99" applyFont="1" applyBorder="1" applyAlignment="1">
      <alignment horizontal="right"/>
      <protection/>
    </xf>
    <xf numFmtId="0" fontId="13" fillId="0" borderId="24" xfId="99" applyFont="1" applyFill="1" applyBorder="1" applyAlignment="1">
      <alignment horizontal="center" wrapText="1"/>
      <protection/>
    </xf>
    <xf numFmtId="0" fontId="46" fillId="0" borderId="22" xfId="112" applyFont="1" applyBorder="1" applyAlignment="1">
      <alignment horizontal="center" vertical="center" wrapText="1"/>
      <protection/>
    </xf>
    <xf numFmtId="0" fontId="46" fillId="0" borderId="19" xfId="112" applyFont="1" applyBorder="1" applyAlignment="1">
      <alignment horizontal="center" vertical="center" wrapText="1"/>
      <protection/>
    </xf>
    <xf numFmtId="0" fontId="60" fillId="0" borderId="30" xfId="112" applyFont="1" applyBorder="1" applyAlignment="1">
      <alignment horizontal="center" vertical="center" textRotation="90"/>
      <protection/>
    </xf>
    <xf numFmtId="0" fontId="60" fillId="0" borderId="24" xfId="112" applyFont="1" applyBorder="1" applyAlignment="1">
      <alignment horizontal="center" vertical="center" textRotation="90"/>
      <protection/>
    </xf>
    <xf numFmtId="0" fontId="31" fillId="0" borderId="46" xfId="112" applyFont="1" applyBorder="1" applyAlignment="1">
      <alignment horizontal="center" vertical="center" wrapText="1"/>
      <protection/>
    </xf>
    <xf numFmtId="0" fontId="31" fillId="0" borderId="25" xfId="112" applyFont="1" applyBorder="1" applyAlignment="1">
      <alignment horizontal="center" vertical="center"/>
      <protection/>
    </xf>
    <xf numFmtId="0" fontId="115" fillId="0" borderId="0" xfId="113" applyFont="1" applyAlignment="1">
      <alignment horizontal="center" vertical="center" wrapText="1"/>
      <protection/>
    </xf>
    <xf numFmtId="0" fontId="116" fillId="0" borderId="0" xfId="113" applyFont="1" applyAlignment="1">
      <alignment horizontal="right"/>
      <protection/>
    </xf>
    <xf numFmtId="0" fontId="115" fillId="0" borderId="123" xfId="113" applyFont="1" applyBorder="1" applyAlignment="1">
      <alignment horizontal="center" vertical="center" wrapText="1"/>
      <protection/>
    </xf>
    <xf numFmtId="0" fontId="31" fillId="0" borderId="124" xfId="112" applyFont="1" applyBorder="1" applyAlignment="1">
      <alignment horizontal="center" vertical="center" textRotation="90"/>
      <protection/>
    </xf>
    <xf numFmtId="0" fontId="116" fillId="0" borderId="124" xfId="113" applyFont="1" applyBorder="1" applyAlignment="1">
      <alignment horizontal="center" vertical="center" wrapText="1"/>
      <protection/>
    </xf>
    <xf numFmtId="0" fontId="116" fillId="0" borderId="113" xfId="113" applyFont="1" applyBorder="1" applyAlignment="1">
      <alignment horizontal="center" wrapText="1"/>
      <protection/>
    </xf>
    <xf numFmtId="0" fontId="69" fillId="0" borderId="0" xfId="113" applyFont="1" applyAlignment="1">
      <alignment horizontal="center" vertical="center" wrapText="1"/>
      <protection/>
    </xf>
    <xf numFmtId="0" fontId="118" fillId="0" borderId="0" xfId="113" applyFont="1" applyAlignment="1">
      <alignment horizontal="right"/>
      <protection/>
    </xf>
    <xf numFmtId="0" fontId="69" fillId="0" borderId="123" xfId="113" applyFont="1" applyBorder="1" applyAlignment="1">
      <alignment horizontal="center" vertical="center" wrapText="1"/>
      <protection/>
    </xf>
    <xf numFmtId="0" fontId="62" fillId="0" borderId="124" xfId="112" applyFont="1" applyBorder="1" applyAlignment="1">
      <alignment horizontal="center" vertical="center" textRotation="90"/>
      <protection/>
    </xf>
    <xf numFmtId="0" fontId="118" fillId="0" borderId="124" xfId="113" applyFont="1" applyBorder="1" applyAlignment="1">
      <alignment horizontal="center" vertical="center" wrapText="1"/>
      <protection/>
    </xf>
    <xf numFmtId="0" fontId="118" fillId="0" borderId="113" xfId="113" applyFont="1" applyBorder="1" applyAlignment="1">
      <alignment horizontal="center" wrapText="1"/>
      <protection/>
    </xf>
    <xf numFmtId="0" fontId="78" fillId="0" borderId="0" xfId="113" applyFont="1" applyAlignment="1">
      <alignment horizontal="center" vertical="center" wrapText="1"/>
      <protection/>
    </xf>
    <xf numFmtId="0" fontId="113" fillId="0" borderId="0" xfId="112" applyFont="1" applyAlignment="1">
      <alignment horizontal="right" vertical="center"/>
      <protection/>
    </xf>
    <xf numFmtId="0" fontId="78" fillId="0" borderId="104" xfId="113" applyFont="1" applyBorder="1" applyAlignment="1">
      <alignment horizontal="left"/>
      <protection/>
    </xf>
    <xf numFmtId="0" fontId="62" fillId="0" borderId="0" xfId="112" applyFont="1" applyAlignment="1">
      <alignment horizontal="right" vertical="center"/>
      <protection/>
    </xf>
    <xf numFmtId="0" fontId="69" fillId="0" borderId="104" xfId="113" applyFont="1" applyBorder="1" applyAlignment="1">
      <alignment horizontal="left"/>
      <protection/>
    </xf>
    <xf numFmtId="0" fontId="27" fillId="0" borderId="0" xfId="111" applyFont="1" applyAlignment="1">
      <alignment horizontal="center"/>
      <protection/>
    </xf>
    <xf numFmtId="0" fontId="42" fillId="0" borderId="0" xfId="111" applyFont="1" applyAlignment="1">
      <alignment horizontal="right"/>
      <protection/>
    </xf>
    <xf numFmtId="169" fontId="82" fillId="0" borderId="0" xfId="111" applyNumberFormat="1" applyFont="1" applyAlignment="1">
      <alignment horizontal="center" vertical="center" wrapText="1"/>
      <protection/>
    </xf>
    <xf numFmtId="0" fontId="60" fillId="0" borderId="52" xfId="0" applyFont="1" applyBorder="1" applyAlignment="1">
      <alignment horizontal="right"/>
    </xf>
    <xf numFmtId="0" fontId="46" fillId="0" borderId="22" xfId="111" applyFont="1" applyBorder="1" applyAlignment="1">
      <alignment horizontal="center" vertical="center" wrapText="1"/>
      <protection/>
    </xf>
    <xf numFmtId="0" fontId="46" fillId="0" borderId="29" xfId="111" applyFont="1" applyBorder="1" applyAlignment="1">
      <alignment horizontal="center" vertical="center" wrapText="1"/>
      <protection/>
    </xf>
    <xf numFmtId="0" fontId="46" fillId="0" borderId="30" xfId="111" applyFont="1" applyBorder="1" applyAlignment="1">
      <alignment horizontal="center" vertical="center" wrapText="1"/>
      <protection/>
    </xf>
    <xf numFmtId="0" fontId="46" fillId="0" borderId="28" xfId="111" applyFont="1" applyBorder="1" applyAlignment="1">
      <alignment horizontal="center" vertical="center" wrapText="1"/>
      <protection/>
    </xf>
    <xf numFmtId="0" fontId="46" fillId="0" borderId="70" xfId="111" applyFont="1" applyBorder="1" applyAlignment="1">
      <alignment horizontal="center" vertical="center" wrapText="1"/>
      <protection/>
    </xf>
    <xf numFmtId="0" fontId="46" fillId="0" borderId="51" xfId="111" applyFont="1" applyBorder="1" applyAlignment="1">
      <alignment horizontal="center" vertical="center" wrapText="1"/>
      <protection/>
    </xf>
    <xf numFmtId="0" fontId="46" fillId="0" borderId="125" xfId="111" applyFont="1" applyBorder="1" applyAlignment="1">
      <alignment horizontal="center" vertical="center" wrapText="1"/>
      <protection/>
    </xf>
    <xf numFmtId="0" fontId="46" fillId="0" borderId="44" xfId="111" applyFont="1" applyBorder="1" applyAlignment="1">
      <alignment horizontal="left" vertical="center"/>
      <protection/>
    </xf>
    <xf numFmtId="0" fontId="46" fillId="0" borderId="27" xfId="111" applyFont="1" applyBorder="1" applyAlignment="1">
      <alignment horizontal="left" vertical="center"/>
      <protection/>
    </xf>
    <xf numFmtId="0" fontId="45" fillId="0" borderId="66" xfId="111" applyFont="1" applyBorder="1" applyAlignment="1">
      <alignment horizontal="justify" vertical="center" wrapText="1"/>
      <protection/>
    </xf>
    <xf numFmtId="169" fontId="81" fillId="0" borderId="0" xfId="111" applyNumberFormat="1" applyFont="1" applyAlignment="1">
      <alignment horizontal="center" vertical="center" wrapText="1"/>
      <protection/>
    </xf>
    <xf numFmtId="0" fontId="43" fillId="0" borderId="0" xfId="111" applyFont="1" applyAlignment="1">
      <alignment horizontal="right" vertical="center"/>
      <protection/>
    </xf>
    <xf numFmtId="0" fontId="44" fillId="0" borderId="52" xfId="0" applyFont="1" applyBorder="1" applyAlignment="1">
      <alignment horizontal="right" vertical="center"/>
    </xf>
    <xf numFmtId="0" fontId="85" fillId="0" borderId="0" xfId="106" applyFont="1" applyAlignment="1">
      <alignment horizontal="center" vertical="center"/>
      <protection/>
    </xf>
    <xf numFmtId="169" fontId="42" fillId="0" borderId="52" xfId="106" applyNumberFormat="1" applyFont="1" applyBorder="1" applyAlignment="1">
      <alignment horizontal="right" vertical="center"/>
      <protection/>
    </xf>
    <xf numFmtId="169" fontId="27" fillId="0" borderId="61" xfId="106" applyNumberFormat="1" applyFont="1" applyBorder="1" applyAlignment="1">
      <alignment horizontal="center" vertical="top" wrapText="1"/>
      <protection/>
    </xf>
    <xf numFmtId="169" fontId="27" fillId="0" borderId="60" xfId="106" applyNumberFormat="1" applyFont="1" applyBorder="1" applyAlignment="1">
      <alignment horizontal="center" vertical="top" wrapText="1"/>
      <protection/>
    </xf>
    <xf numFmtId="169" fontId="46" fillId="0" borderId="43" xfId="106" applyNumberFormat="1" applyFont="1" applyBorder="1" applyAlignment="1">
      <alignment horizontal="center" vertical="center"/>
      <protection/>
    </xf>
    <xf numFmtId="169" fontId="46" fillId="0" borderId="50" xfId="106" applyNumberFormat="1" applyFont="1" applyBorder="1" applyAlignment="1">
      <alignment horizontal="center" vertical="center"/>
      <protection/>
    </xf>
    <xf numFmtId="169" fontId="46" fillId="0" borderId="43" xfId="106" applyNumberFormat="1" applyFont="1" applyBorder="1" applyAlignment="1">
      <alignment horizontal="center" vertical="top" wrapText="1"/>
      <protection/>
    </xf>
    <xf numFmtId="169" fontId="46" fillId="0" borderId="50" xfId="106" applyNumberFormat="1" applyFont="1" applyBorder="1" applyAlignment="1">
      <alignment horizontal="center" vertical="top" wrapText="1"/>
      <protection/>
    </xf>
    <xf numFmtId="169" fontId="46" fillId="0" borderId="55" xfId="106" applyNumberFormat="1" applyFont="1" applyBorder="1" applyAlignment="1">
      <alignment horizontal="center" vertical="center" wrapText="1"/>
      <protection/>
    </xf>
    <xf numFmtId="169" fontId="46" fillId="0" borderId="47" xfId="106" applyNumberFormat="1" applyFont="1" applyBorder="1" applyAlignment="1">
      <alignment horizontal="center" vertical="center" wrapText="1"/>
      <protection/>
    </xf>
    <xf numFmtId="0" fontId="46" fillId="0" borderId="32" xfId="111" applyFont="1" applyBorder="1" applyAlignment="1">
      <alignment horizontal="center" vertical="center" wrapText="1"/>
      <protection/>
    </xf>
    <xf numFmtId="0" fontId="46" fillId="0" borderId="54" xfId="111" applyFont="1" applyBorder="1" applyAlignment="1">
      <alignment horizontal="center" vertical="center" wrapText="1"/>
      <protection/>
    </xf>
    <xf numFmtId="0" fontId="30" fillId="0" borderId="79" xfId="111" applyBorder="1" applyAlignment="1">
      <alignment horizontal="left" vertical="center"/>
      <protection/>
    </xf>
    <xf numFmtId="0" fontId="30" fillId="0" borderId="90" xfId="111" applyBorder="1" applyAlignment="1">
      <alignment horizontal="left" vertical="center"/>
      <protection/>
    </xf>
    <xf numFmtId="0" fontId="30" fillId="0" borderId="33" xfId="111" applyBorder="1" applyAlignment="1">
      <alignment horizontal="left" vertical="center"/>
      <protection/>
    </xf>
    <xf numFmtId="0" fontId="30" fillId="0" borderId="89" xfId="111" applyBorder="1" applyAlignment="1">
      <alignment horizontal="left" vertical="center"/>
      <protection/>
    </xf>
    <xf numFmtId="0" fontId="76" fillId="0" borderId="33" xfId="0" applyFont="1" applyBorder="1" applyAlignment="1">
      <alignment horizontal="left" vertical="center" wrapText="1"/>
    </xf>
    <xf numFmtId="0" fontId="76" fillId="0" borderId="89" xfId="0" applyFont="1" applyBorder="1" applyAlignment="1">
      <alignment horizontal="left" vertical="center" wrapText="1"/>
    </xf>
    <xf numFmtId="0" fontId="30" fillId="0" borderId="44" xfId="111" applyBorder="1" applyAlignment="1">
      <alignment horizontal="left" vertical="center"/>
      <protection/>
    </xf>
    <xf numFmtId="0" fontId="30" fillId="0" borderId="27" xfId="111" applyBorder="1" applyAlignment="1">
      <alignment horizontal="left" vertical="center"/>
      <protection/>
    </xf>
    <xf numFmtId="0" fontId="46" fillId="0" borderId="32" xfId="111" applyFont="1" applyBorder="1" applyAlignment="1">
      <alignment horizontal="center" vertical="center"/>
      <protection/>
    </xf>
    <xf numFmtId="0" fontId="46" fillId="0" borderId="39" xfId="111" applyFont="1" applyBorder="1" applyAlignment="1">
      <alignment horizontal="center" vertical="center"/>
      <protection/>
    </xf>
    <xf numFmtId="0" fontId="46" fillId="0" borderId="49" xfId="111" applyFont="1" applyBorder="1" applyAlignment="1">
      <alignment horizontal="center" vertical="center"/>
      <protection/>
    </xf>
    <xf numFmtId="0" fontId="46" fillId="0" borderId="54" xfId="111" applyFont="1" applyBorder="1" applyAlignment="1">
      <alignment horizontal="center" vertical="center"/>
      <protection/>
    </xf>
    <xf numFmtId="0" fontId="66" fillId="0" borderId="24" xfId="107" applyFont="1" applyBorder="1" applyAlignment="1">
      <alignment horizontal="left"/>
      <protection/>
    </xf>
    <xf numFmtId="0" fontId="23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horizontal="right" vertical="center"/>
      <protection/>
    </xf>
    <xf numFmtId="0" fontId="88" fillId="0" borderId="52" xfId="105" applyFont="1" applyBorder="1" applyAlignment="1">
      <alignment horizontal="right"/>
      <protection/>
    </xf>
    <xf numFmtId="3" fontId="10" fillId="0" borderId="0" xfId="105" applyNumberFormat="1" applyFont="1" applyFill="1" applyAlignment="1">
      <alignment horizontal="center" vertical="center"/>
      <protection/>
    </xf>
    <xf numFmtId="3" fontId="72" fillId="0" borderId="0" xfId="105" applyNumberFormat="1" applyFont="1" applyFill="1" applyAlignment="1">
      <alignment horizontal="center" vertical="center"/>
      <protection/>
    </xf>
    <xf numFmtId="0" fontId="85" fillId="0" borderId="0" xfId="105" applyFont="1" applyFill="1" applyAlignment="1">
      <alignment horizontal="center" vertical="center"/>
      <protection/>
    </xf>
    <xf numFmtId="3" fontId="85" fillId="0" borderId="0" xfId="105" applyNumberFormat="1" applyFont="1" applyFill="1" applyAlignment="1">
      <alignment horizontal="center" vertical="center"/>
      <protection/>
    </xf>
    <xf numFmtId="3" fontId="86" fillId="0" borderId="48" xfId="105" applyNumberFormat="1" applyFont="1" applyFill="1" applyBorder="1" applyAlignment="1">
      <alignment horizontal="center" vertical="center" wrapText="1"/>
      <protection/>
    </xf>
    <xf numFmtId="3" fontId="86" fillId="0" borderId="40" xfId="105" applyNumberFormat="1" applyFont="1" applyFill="1" applyBorder="1" applyAlignment="1">
      <alignment horizontal="center" vertical="center" wrapText="1"/>
      <protection/>
    </xf>
    <xf numFmtId="3" fontId="86" fillId="0" borderId="30" xfId="105" applyNumberFormat="1" applyFont="1" applyFill="1" applyBorder="1" applyAlignment="1">
      <alignment horizontal="center" vertical="center"/>
      <protection/>
    </xf>
    <xf numFmtId="3" fontId="86" fillId="0" borderId="90" xfId="105" applyNumberFormat="1" applyFont="1" applyFill="1" applyBorder="1" applyAlignment="1">
      <alignment horizontal="center" vertical="center"/>
      <protection/>
    </xf>
    <xf numFmtId="3" fontId="86" fillId="0" borderId="46" xfId="105" applyNumberFormat="1" applyFont="1" applyFill="1" applyBorder="1" applyAlignment="1">
      <alignment horizontal="center" vertical="center"/>
      <protection/>
    </xf>
    <xf numFmtId="0" fontId="87" fillId="0" borderId="22" xfId="105" applyFont="1" applyFill="1" applyBorder="1" applyAlignment="1">
      <alignment horizontal="center" vertical="center" wrapText="1"/>
      <protection/>
    </xf>
    <xf numFmtId="0" fontId="87" fillId="0" borderId="23" xfId="105" applyFont="1" applyFill="1" applyBorder="1" applyAlignment="1">
      <alignment horizontal="center" vertical="center" wrapText="1"/>
      <protection/>
    </xf>
    <xf numFmtId="0" fontId="87" fillId="0" borderId="69" xfId="105" applyFont="1" applyFill="1" applyBorder="1" applyAlignment="1">
      <alignment horizontal="center" vertical="center" wrapText="1"/>
      <protection/>
    </xf>
    <xf numFmtId="0" fontId="87" fillId="0" borderId="73" xfId="105" applyFont="1" applyFill="1" applyBorder="1" applyAlignment="1">
      <alignment horizontal="center" vertical="center" wrapText="1"/>
      <protection/>
    </xf>
    <xf numFmtId="0" fontId="87" fillId="0" borderId="71" xfId="105" applyFont="1" applyFill="1" applyBorder="1" applyAlignment="1">
      <alignment horizontal="center" vertical="center" wrapText="1"/>
      <protection/>
    </xf>
    <xf numFmtId="0" fontId="87" fillId="0" borderId="131" xfId="105" applyFont="1" applyFill="1" applyBorder="1" applyAlignment="1">
      <alignment horizontal="center" vertical="center" wrapText="1"/>
      <protection/>
    </xf>
    <xf numFmtId="3" fontId="26" fillId="0" borderId="67" xfId="105" applyNumberFormat="1" applyFont="1" applyFill="1" applyBorder="1" applyAlignment="1">
      <alignment horizontal="right" vertical="center"/>
      <protection/>
    </xf>
    <xf numFmtId="3" fontId="26" fillId="0" borderId="87" xfId="105" applyNumberFormat="1" applyFont="1" applyFill="1" applyBorder="1" applyAlignment="1">
      <alignment horizontal="right" vertical="center"/>
      <protection/>
    </xf>
    <xf numFmtId="3" fontId="26" fillId="0" borderId="72" xfId="105" applyNumberFormat="1" applyFont="1" applyFill="1" applyBorder="1" applyAlignment="1">
      <alignment horizontal="right" vertical="center"/>
      <protection/>
    </xf>
    <xf numFmtId="3" fontId="26" fillId="0" borderId="94" xfId="105" applyNumberFormat="1" applyFont="1" applyFill="1" applyBorder="1" applyAlignment="1">
      <alignment horizontal="right" vertical="center"/>
      <protection/>
    </xf>
    <xf numFmtId="3" fontId="24" fillId="0" borderId="71" xfId="105" applyNumberFormat="1" applyFont="1" applyFill="1" applyBorder="1" applyAlignment="1">
      <alignment horizontal="right" vertical="center"/>
      <protection/>
    </xf>
    <xf numFmtId="3" fontId="24" fillId="0" borderId="131" xfId="105" applyNumberFormat="1" applyFont="1" applyFill="1" applyBorder="1" applyAlignment="1">
      <alignment horizontal="right" vertical="center"/>
      <protection/>
    </xf>
    <xf numFmtId="169" fontId="58" fillId="0" borderId="53" xfId="100" applyNumberFormat="1" applyFont="1" applyBorder="1" applyAlignment="1">
      <alignment horizontal="center" textRotation="180" wrapText="1"/>
      <protection/>
    </xf>
    <xf numFmtId="169" fontId="49" fillId="0" borderId="32" xfId="100" applyNumberFormat="1" applyFont="1" applyBorder="1" applyAlignment="1">
      <alignment horizontal="left" vertical="center" wrapText="1" indent="2"/>
      <protection/>
    </xf>
    <xf numFmtId="169" fontId="49" fillId="0" borderId="49" xfId="100" applyNumberFormat="1" applyFont="1" applyBorder="1" applyAlignment="1">
      <alignment horizontal="left" vertical="center" wrapText="1" indent="2"/>
      <protection/>
    </xf>
    <xf numFmtId="169" fontId="46" fillId="0" borderId="0" xfId="100" applyNumberFormat="1" applyFont="1" applyAlignment="1">
      <alignment horizontal="center" vertical="center" wrapText="1"/>
      <protection/>
    </xf>
    <xf numFmtId="169" fontId="49" fillId="0" borderId="132" xfId="100" applyNumberFormat="1" applyFont="1" applyBorder="1" applyAlignment="1">
      <alignment horizontal="center" vertical="center" wrapText="1"/>
      <protection/>
    </xf>
    <xf numFmtId="169" fontId="49" fillId="0" borderId="133" xfId="100" applyNumberFormat="1" applyFont="1" applyBorder="1" applyAlignment="1">
      <alignment horizontal="center" vertical="center" wrapText="1"/>
      <protection/>
    </xf>
    <xf numFmtId="169" fontId="49" fillId="0" borderId="132" xfId="100" applyNumberFormat="1" applyFont="1" applyBorder="1" applyAlignment="1">
      <alignment horizontal="center" vertical="center"/>
      <protection/>
    </xf>
    <xf numFmtId="169" fontId="49" fillId="0" borderId="133" xfId="100" applyNumberFormat="1" applyFont="1" applyBorder="1" applyAlignment="1">
      <alignment horizontal="center" vertical="center"/>
      <protection/>
    </xf>
    <xf numFmtId="49" fontId="49" fillId="0" borderId="132" xfId="100" applyNumberFormat="1" applyFont="1" applyBorder="1" applyAlignment="1">
      <alignment horizontal="center" vertical="center" wrapText="1"/>
      <protection/>
    </xf>
    <xf numFmtId="49" fontId="49" fillId="0" borderId="133" xfId="100" applyNumberFormat="1" applyFont="1" applyBorder="1" applyAlignment="1">
      <alignment horizontal="center" vertical="center" wrapText="1"/>
      <protection/>
    </xf>
    <xf numFmtId="169" fontId="49" fillId="0" borderId="79" xfId="100" applyNumberFormat="1" applyFont="1" applyBorder="1" applyAlignment="1">
      <alignment horizontal="center" vertical="center"/>
      <protection/>
    </xf>
    <xf numFmtId="169" fontId="49" fillId="0" borderId="51" xfId="100" applyNumberFormat="1" applyFont="1" applyBorder="1" applyAlignment="1">
      <alignment horizontal="center" vertical="center"/>
      <protection/>
    </xf>
    <xf numFmtId="169" fontId="49" fillId="0" borderId="125" xfId="100" applyNumberFormat="1" applyFont="1" applyBorder="1" applyAlignment="1">
      <alignment horizontal="center" vertical="center"/>
      <protection/>
    </xf>
    <xf numFmtId="3" fontId="28" fillId="52" borderId="62" xfId="97" applyNumberFormat="1" applyFont="1" applyFill="1" applyBorder="1" applyAlignment="1">
      <alignment horizontal="right" vertical="center"/>
      <protection/>
    </xf>
    <xf numFmtId="3" fontId="28" fillId="52" borderId="68" xfId="97" applyNumberFormat="1" applyFont="1" applyFill="1" applyBorder="1" applyAlignment="1">
      <alignment horizontal="right" vertical="center"/>
      <protection/>
    </xf>
    <xf numFmtId="3" fontId="28" fillId="52" borderId="72" xfId="97" applyNumberFormat="1" applyFont="1" applyFill="1" applyBorder="1" applyAlignment="1">
      <alignment horizontal="right" vertical="center"/>
      <protection/>
    </xf>
    <xf numFmtId="3" fontId="28" fillId="52" borderId="94" xfId="97" applyNumberFormat="1" applyFont="1" applyFill="1" applyBorder="1" applyAlignment="1">
      <alignment horizontal="right" vertical="center"/>
      <protection/>
    </xf>
    <xf numFmtId="0" fontId="46" fillId="52" borderId="0" xfId="97" applyFont="1" applyFill="1" applyAlignment="1">
      <alignment horizontal="center"/>
      <protection/>
    </xf>
    <xf numFmtId="0" fontId="58" fillId="52" borderId="52" xfId="97" applyFont="1" applyFill="1" applyBorder="1" applyAlignment="1">
      <alignment horizontal="right"/>
      <protection/>
    </xf>
    <xf numFmtId="0" fontId="28" fillId="52" borderId="70" xfId="97" applyFont="1" applyFill="1" applyBorder="1" applyAlignment="1">
      <alignment horizontal="center" vertical="center" wrapText="1"/>
      <protection/>
    </xf>
    <xf numFmtId="0" fontId="28" fillId="52" borderId="125" xfId="97" applyFont="1" applyFill="1" applyBorder="1" applyAlignment="1">
      <alignment horizontal="center" vertical="center" wrapText="1"/>
      <protection/>
    </xf>
    <xf numFmtId="0" fontId="42" fillId="0" borderId="0" xfId="103" applyFont="1" applyAlignment="1">
      <alignment horizontal="right"/>
      <protection/>
    </xf>
    <xf numFmtId="0" fontId="27" fillId="0" borderId="0" xfId="103" applyFont="1" applyAlignment="1" applyProtection="1">
      <alignment horizontal="center" vertical="top" wrapText="1"/>
      <protection locked="0"/>
    </xf>
    <xf numFmtId="0" fontId="152" fillId="51" borderId="29" xfId="97" applyFont="1" applyFill="1" applyBorder="1" applyAlignment="1">
      <alignment horizontal="left" vertical="center" wrapText="1"/>
      <protection/>
    </xf>
    <xf numFmtId="0" fontId="152" fillId="51" borderId="40" xfId="97" applyFont="1" applyFill="1" applyBorder="1" applyAlignment="1">
      <alignment horizontal="left" vertical="center" wrapText="1"/>
      <protection/>
    </xf>
    <xf numFmtId="0" fontId="152" fillId="0" borderId="29" xfId="97" applyFont="1" applyFill="1" applyBorder="1" applyAlignment="1">
      <alignment horizontal="left" vertical="center" wrapText="1"/>
      <protection/>
    </xf>
    <xf numFmtId="0" fontId="152" fillId="0" borderId="40" xfId="97" applyFont="1" applyFill="1" applyBorder="1" applyAlignment="1">
      <alignment horizontal="left" vertical="center" wrapText="1"/>
      <protection/>
    </xf>
    <xf numFmtId="0" fontId="0" fillId="0" borderId="28" xfId="97" applyBorder="1" applyAlignment="1">
      <alignment horizontal="center"/>
      <protection/>
    </xf>
    <xf numFmtId="0" fontId="0" fillId="0" borderId="42" xfId="97" applyBorder="1" applyAlignment="1">
      <alignment horizontal="center"/>
      <protection/>
    </xf>
    <xf numFmtId="0" fontId="0" fillId="0" borderId="29" xfId="97" applyBorder="1" applyAlignment="1">
      <alignment horizontal="left" vertical="center" wrapText="1"/>
      <protection/>
    </xf>
    <xf numFmtId="0" fontId="0" fillId="0" borderId="64" xfId="97" applyBorder="1" applyAlignment="1">
      <alignment horizontal="left" vertical="center" wrapText="1"/>
      <protection/>
    </xf>
    <xf numFmtId="0" fontId="0" fillId="0" borderId="40" xfId="97" applyBorder="1" applyAlignment="1">
      <alignment horizontal="left" vertical="center" wrapText="1"/>
      <protection/>
    </xf>
    <xf numFmtId="0" fontId="0" fillId="0" borderId="28" xfId="97" applyBorder="1" applyAlignment="1">
      <alignment horizontal="left" vertical="center" wrapText="1"/>
      <protection/>
    </xf>
    <xf numFmtId="0" fontId="0" fillId="0" borderId="42" xfId="97" applyBorder="1" applyAlignment="1">
      <alignment horizontal="left" vertical="center" wrapText="1"/>
      <protection/>
    </xf>
    <xf numFmtId="3" fontId="0" fillId="0" borderId="28" xfId="97" applyNumberFormat="1" applyBorder="1" applyAlignment="1">
      <alignment horizontal="right" vertical="center"/>
      <protection/>
    </xf>
    <xf numFmtId="3" fontId="0" fillId="0" borderId="42" xfId="97" applyNumberFormat="1" applyBorder="1" applyAlignment="1">
      <alignment horizontal="right" vertical="center"/>
      <protection/>
    </xf>
    <xf numFmtId="0" fontId="9" fillId="0" borderId="0" xfId="97" applyFont="1" applyAlignment="1">
      <alignment horizontal="right"/>
      <protection/>
    </xf>
    <xf numFmtId="0" fontId="48" fillId="0" borderId="0" xfId="97" applyFont="1" applyAlignment="1">
      <alignment horizontal="right"/>
      <protection/>
    </xf>
    <xf numFmtId="0" fontId="39" fillId="0" borderId="0" xfId="97" applyFont="1" applyAlignment="1">
      <alignment horizontal="center"/>
      <protection/>
    </xf>
    <xf numFmtId="0" fontId="7" fillId="0" borderId="0" xfId="97" applyFont="1" applyAlignment="1">
      <alignment horizontal="center" wrapText="1"/>
      <protection/>
    </xf>
    <xf numFmtId="0" fontId="6" fillId="0" borderId="59" xfId="97" applyFont="1" applyBorder="1" applyAlignment="1">
      <alignment horizontal="center" vertical="center"/>
      <protection/>
    </xf>
    <xf numFmtId="0" fontId="6" fillId="0" borderId="39" xfId="97" applyFont="1" applyBorder="1" applyAlignment="1">
      <alignment horizontal="center" vertical="center"/>
      <protection/>
    </xf>
    <xf numFmtId="169" fontId="62" fillId="0" borderId="0" xfId="0" applyNumberFormat="1" applyFont="1" applyAlignment="1">
      <alignment horizontal="right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</cellXfs>
  <cellStyles count="11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2 2" xfId="71"/>
    <cellStyle name="Ezres 3" xfId="72"/>
    <cellStyle name="Figyelmeztetés" xfId="73"/>
    <cellStyle name="Good" xfId="74"/>
    <cellStyle name="Heading 1" xfId="75"/>
    <cellStyle name="Heading 2" xfId="76"/>
    <cellStyle name="Heading 3" xfId="77"/>
    <cellStyle name="Heading 4" xfId="78"/>
    <cellStyle name="Hiperhivatkozás" xfId="79"/>
    <cellStyle name="Hyperlink" xfId="80"/>
    <cellStyle name="Hivatkozott cella" xfId="81"/>
    <cellStyle name="Input" xfId="82"/>
    <cellStyle name="Jegyzet" xfId="83"/>
    <cellStyle name="Jelölőszín 1" xfId="84"/>
    <cellStyle name="Jelölőszín 2" xfId="85"/>
    <cellStyle name="Jelölőszín 3" xfId="86"/>
    <cellStyle name="Jelölőszín 4" xfId="87"/>
    <cellStyle name="Jelölőszín 5" xfId="88"/>
    <cellStyle name="Jelölőszín 6" xfId="89"/>
    <cellStyle name="Jó" xfId="90"/>
    <cellStyle name="Kimenet" xfId="91"/>
    <cellStyle name="Followed Hyperlink" xfId="92"/>
    <cellStyle name="Linked Cell" xfId="93"/>
    <cellStyle name="Magyarázó szöveg" xfId="94"/>
    <cellStyle name="Már látott hiperhivatkozás" xfId="95"/>
    <cellStyle name="Neutral" xfId="96"/>
    <cellStyle name="Normál 2" xfId="97"/>
    <cellStyle name="Normál 2 2" xfId="98"/>
    <cellStyle name="Normál 3" xfId="99"/>
    <cellStyle name="Normál 4" xfId="100"/>
    <cellStyle name="Normál 4 2" xfId="101"/>
    <cellStyle name="Normál 5" xfId="102"/>
    <cellStyle name="Normál 6" xfId="103"/>
    <cellStyle name="Normál 7" xfId="104"/>
    <cellStyle name="Normál_1_-_II_Tajekoztato_tablak" xfId="105"/>
    <cellStyle name="Normál_1_-_II_Tajekoztato_tablak (1)" xfId="106"/>
    <cellStyle name="Normál_1_-_II_Tajekoztato_tablak 2" xfId="107"/>
    <cellStyle name="Normál_2007. év költségvetés terv 1.mellékletek" xfId="108"/>
    <cellStyle name="Normál_2008. év költségvetés terv 1. sz. melléklet" xfId="109"/>
    <cellStyle name="Normál_Dologi kiadás" xfId="110"/>
    <cellStyle name="Normál_KVRENMUNKA" xfId="111"/>
    <cellStyle name="Normál_VAGYONK" xfId="112"/>
    <cellStyle name="Normál_VAGYONKIM" xfId="113"/>
    <cellStyle name="Note" xfId="114"/>
    <cellStyle name="Output" xfId="115"/>
    <cellStyle name="Összesen" xfId="116"/>
    <cellStyle name="Currency" xfId="117"/>
    <cellStyle name="Currency [0]" xfId="118"/>
    <cellStyle name="Rossz" xfId="119"/>
    <cellStyle name="Semleges" xfId="120"/>
    <cellStyle name="Számítás" xfId="121"/>
    <cellStyle name="Percent" xfId="122"/>
    <cellStyle name="Százalék 2" xfId="123"/>
    <cellStyle name="Title" xfId="124"/>
    <cellStyle name="Total" xfId="125"/>
    <cellStyle name="Warning Text" xfId="12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wnloads\1527685536_1-23.%20szamu%20melleklet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.1 sz. m Köz Hiv"/>
      <sheetName val="5.2 sz. m ÁMK"/>
      <sheetName val="6.a.sz.m.fejlesztés (3)"/>
      <sheetName val="6.b.sz.m.intfejl (2)"/>
      <sheetName val="7.sz.m.Dologi kiadás (3)"/>
      <sheetName val="8.sz.m.szociális kiadások (2)"/>
      <sheetName val="9.sz.m.átadott pe (3)"/>
      <sheetName val="10 .sz.m. Létszám (2)"/>
      <sheetName val="11.sz.m.maradvány"/>
      <sheetName val="12.sz.m.mérleg"/>
      <sheetName val="13amell.Vagyokim. Beled Önk"/>
      <sheetName val="13bmell.Vagyokim. Közös Hiv"/>
      <sheetName val="13cmell.Vagyokim.BÁMK"/>
      <sheetName val="13d.sz.m Önk. érték nélkül Bele"/>
      <sheetName val="13e.sz.m érték nélkül Közös Hiv"/>
      <sheetName val="13f.sz.m.érték nélkül BÁMK"/>
      <sheetName val="14. sz adósság kötelezettség"/>
      <sheetName val="15. saját bevételek"/>
      <sheetName val="16. sz.m. hitelállomány"/>
      <sheetName val="17.sz.m.akü"/>
      <sheetName val="18.sz.m. állami támogatás "/>
      <sheetName val="19. sz.m. közvetett tám. "/>
      <sheetName val="20.sz.m.többéves kihatás"/>
      <sheetName val="21.sz.m.részesedések"/>
      <sheetName val="22.sz.m. pe változás"/>
      <sheetName val="23. sz. m. EU "/>
      <sheetName val="üres lap"/>
    </sheetNames>
    <sheetDataSet>
      <sheetData sheetId="14">
        <row r="220">
          <cell r="F220">
            <v>0</v>
          </cell>
        </row>
        <row r="244">
          <cell r="F244">
            <v>0</v>
          </cell>
        </row>
        <row r="255">
          <cell r="F2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"/>
  <sheetViews>
    <sheetView view="pageBreakPreview" zoomScale="60" zoomScaleNormal="70" workbookViewId="0" topLeftCell="K44">
      <selection activeCell="J39" sqref="J39"/>
    </sheetView>
  </sheetViews>
  <sheetFormatPr defaultColWidth="9.140625" defaultRowHeight="12.75"/>
  <cols>
    <col min="1" max="2" width="5.7109375" style="55" customWidth="1"/>
    <col min="3" max="3" width="8.8515625" style="55" customWidth="1"/>
    <col min="4" max="4" width="61.7109375" style="12" customWidth="1"/>
    <col min="5" max="5" width="24.28125" style="244" customWidth="1"/>
    <col min="6" max="8" width="20.00390625" style="244" hidden="1" customWidth="1"/>
    <col min="9" max="12" width="20.00390625" style="244" customWidth="1"/>
    <col min="13" max="15" width="20.00390625" style="244" hidden="1" customWidth="1"/>
    <col min="16" max="18" width="20.00390625" style="244" customWidth="1"/>
    <col min="19" max="19" width="20.00390625" style="245" customWidth="1"/>
    <col min="20" max="22" width="20.00390625" style="244" hidden="1" customWidth="1"/>
    <col min="23" max="26" width="20.00390625" style="245" customWidth="1"/>
    <col min="27" max="29" width="20.00390625" style="245" hidden="1" customWidth="1"/>
    <col min="30" max="33" width="20.00390625" style="245" customWidth="1"/>
    <col min="34" max="16384" width="9.140625" style="245" customWidth="1"/>
  </cols>
  <sheetData>
    <row r="1" spans="1:30" ht="12.75">
      <c r="A1" s="52"/>
      <c r="B1" s="52"/>
      <c r="C1" s="52"/>
      <c r="D1" s="53"/>
      <c r="P1" s="1531" t="s">
        <v>584</v>
      </c>
      <c r="Q1" s="1532"/>
      <c r="R1" s="1532"/>
      <c r="S1" s="1532"/>
      <c r="T1" s="1532"/>
      <c r="U1" s="1532"/>
      <c r="V1" s="1532"/>
      <c r="W1" s="1532"/>
      <c r="X1" s="1532"/>
      <c r="Y1" s="1532"/>
      <c r="Z1" s="1532"/>
      <c r="AA1" s="1532"/>
      <c r="AB1" s="1532"/>
      <c r="AC1" s="1532"/>
      <c r="AD1" s="1532"/>
    </row>
    <row r="2" spans="1:20" ht="34.5" customHeight="1">
      <c r="A2" s="1545" t="s">
        <v>607</v>
      </c>
      <c r="B2" s="1545"/>
      <c r="C2" s="1545"/>
      <c r="D2" s="1545"/>
      <c r="E2" s="1545"/>
      <c r="F2" s="1545"/>
      <c r="G2" s="1545"/>
      <c r="H2" s="1545"/>
      <c r="I2" s="1545"/>
      <c r="J2" s="1545"/>
      <c r="K2" s="1545"/>
      <c r="L2" s="1545"/>
      <c r="M2" s="1545"/>
      <c r="N2" s="1545"/>
      <c r="O2" s="1545"/>
      <c r="P2" s="1545"/>
      <c r="Q2" s="1545"/>
      <c r="R2" s="1545"/>
      <c r="S2" s="1545"/>
      <c r="T2" s="182"/>
    </row>
    <row r="3" spans="1:19" ht="13.5" thickBot="1">
      <c r="A3" s="54"/>
      <c r="B3" s="54"/>
      <c r="C3" s="54"/>
      <c r="D3" s="50"/>
      <c r="L3" s="3"/>
      <c r="M3" s="3"/>
      <c r="N3" s="3"/>
      <c r="O3" s="3"/>
      <c r="P3" s="3"/>
      <c r="Q3" s="3"/>
      <c r="R3" s="3"/>
      <c r="S3" s="21" t="s">
        <v>434</v>
      </c>
    </row>
    <row r="4" spans="1:32" ht="45.75" customHeight="1" thickBot="1">
      <c r="A4" s="1546" t="s">
        <v>5</v>
      </c>
      <c r="B4" s="1547"/>
      <c r="C4" s="1547"/>
      <c r="D4" s="246" t="s">
        <v>8</v>
      </c>
      <c r="E4" s="1542" t="s">
        <v>4</v>
      </c>
      <c r="F4" s="1543"/>
      <c r="G4" s="1543"/>
      <c r="H4" s="1543"/>
      <c r="I4" s="1543"/>
      <c r="J4" s="1543"/>
      <c r="K4" s="1544"/>
      <c r="L4" s="1526" t="s">
        <v>60</v>
      </c>
      <c r="M4" s="1527"/>
      <c r="N4" s="1527"/>
      <c r="O4" s="1527"/>
      <c r="P4" s="1527"/>
      <c r="Q4" s="1527"/>
      <c r="R4" s="1528"/>
      <c r="S4" s="1542" t="s">
        <v>61</v>
      </c>
      <c r="T4" s="1543"/>
      <c r="U4" s="1543"/>
      <c r="V4" s="1543"/>
      <c r="W4" s="1543"/>
      <c r="X4" s="1543"/>
      <c r="Y4" s="1544"/>
      <c r="Z4" s="1526" t="s">
        <v>65</v>
      </c>
      <c r="AA4" s="1527"/>
      <c r="AB4" s="1527"/>
      <c r="AC4" s="1527"/>
      <c r="AD4" s="1527"/>
      <c r="AE4" s="1527"/>
      <c r="AF4" s="1528"/>
    </row>
    <row r="5" spans="1:32" ht="45.75" customHeight="1" thickBot="1">
      <c r="A5" s="235"/>
      <c r="B5" s="236"/>
      <c r="C5" s="236"/>
      <c r="D5" s="246"/>
      <c r="E5" s="275" t="s">
        <v>64</v>
      </c>
      <c r="F5" s="276" t="s">
        <v>224</v>
      </c>
      <c r="G5" s="276" t="s">
        <v>229</v>
      </c>
      <c r="H5" s="276" t="s">
        <v>231</v>
      </c>
      <c r="I5" s="276" t="s">
        <v>425</v>
      </c>
      <c r="J5" s="277" t="s">
        <v>392</v>
      </c>
      <c r="K5" s="246" t="s">
        <v>422</v>
      </c>
      <c r="L5" s="275" t="s">
        <v>64</v>
      </c>
      <c r="M5" s="276" t="s">
        <v>224</v>
      </c>
      <c r="N5" s="276" t="s">
        <v>229</v>
      </c>
      <c r="O5" s="276" t="s">
        <v>231</v>
      </c>
      <c r="P5" s="276" t="s">
        <v>425</v>
      </c>
      <c r="Q5" s="277" t="s">
        <v>392</v>
      </c>
      <c r="R5" s="277" t="s">
        <v>422</v>
      </c>
      <c r="S5" s="275" t="s">
        <v>64</v>
      </c>
      <c r="T5" s="276" t="s">
        <v>224</v>
      </c>
      <c r="U5" s="276" t="s">
        <v>229</v>
      </c>
      <c r="V5" s="276" t="s">
        <v>231</v>
      </c>
      <c r="W5" s="276" t="s">
        <v>425</v>
      </c>
      <c r="X5" s="277" t="s">
        <v>392</v>
      </c>
      <c r="Y5" s="277" t="s">
        <v>422</v>
      </c>
      <c r="Z5" s="275" t="s">
        <v>64</v>
      </c>
      <c r="AA5" s="276" t="s">
        <v>224</v>
      </c>
      <c r="AB5" s="276" t="s">
        <v>229</v>
      </c>
      <c r="AC5" s="276" t="s">
        <v>231</v>
      </c>
      <c r="AD5" s="276" t="s">
        <v>425</v>
      </c>
      <c r="AE5" s="277" t="s">
        <v>392</v>
      </c>
      <c r="AF5" s="277" t="s">
        <v>422</v>
      </c>
    </row>
    <row r="6" spans="1:32" s="6" customFormat="1" ht="21.75" customHeight="1" thickBot="1">
      <c r="A6" s="65"/>
      <c r="B6" s="1525"/>
      <c r="C6" s="1525"/>
      <c r="D6" s="1525"/>
      <c r="E6" s="278"/>
      <c r="F6" s="218"/>
      <c r="G6" s="218"/>
      <c r="H6" s="218"/>
      <c r="I6" s="218"/>
      <c r="J6" s="557"/>
      <c r="K6" s="918"/>
      <c r="L6" s="278"/>
      <c r="M6" s="218"/>
      <c r="N6" s="218"/>
      <c r="O6" s="218"/>
      <c r="P6" s="218"/>
      <c r="Q6" s="218"/>
      <c r="R6" s="557"/>
      <c r="S6" s="278"/>
      <c r="T6" s="218"/>
      <c r="U6" s="218"/>
      <c r="V6" s="218"/>
      <c r="W6" s="218"/>
      <c r="X6" s="557"/>
      <c r="Y6" s="918"/>
      <c r="Z6" s="278"/>
      <c r="AA6" s="218"/>
      <c r="AB6" s="218"/>
      <c r="AC6" s="218"/>
      <c r="AE6" s="557"/>
      <c r="AF6" s="918"/>
    </row>
    <row r="7" spans="1:33" s="6" customFormat="1" ht="21.75" customHeight="1" thickBot="1">
      <c r="A7" s="65" t="s">
        <v>26</v>
      </c>
      <c r="B7" s="1525" t="s">
        <v>280</v>
      </c>
      <c r="C7" s="1525"/>
      <c r="D7" s="1525"/>
      <c r="E7" s="278">
        <f aca="true" t="shared" si="0" ref="E7:Q7">E8+E13+E16+E17+E20</f>
        <v>194460000</v>
      </c>
      <c r="F7" s="218">
        <f t="shared" si="0"/>
        <v>194672400</v>
      </c>
      <c r="G7" s="218">
        <f t="shared" si="0"/>
        <v>194672400</v>
      </c>
      <c r="H7" s="218">
        <f>H8+H13+H16+H17+H20</f>
        <v>194672400</v>
      </c>
      <c r="I7" s="218">
        <f t="shared" si="0"/>
        <v>231132621</v>
      </c>
      <c r="J7" s="218">
        <f t="shared" si="0"/>
        <v>226539544</v>
      </c>
      <c r="K7" s="919">
        <f>+J7/I7</f>
        <v>0.9801279586579862</v>
      </c>
      <c r="L7" s="278">
        <f t="shared" si="0"/>
        <v>165173226</v>
      </c>
      <c r="M7" s="278">
        <f>M8+M13+M16+M17+M20</f>
        <v>165385626</v>
      </c>
      <c r="N7" s="278">
        <f>N8+N13+N16+N17+N20</f>
        <v>165175626</v>
      </c>
      <c r="O7" s="278">
        <f>O8+O13+O16+O17+O20</f>
        <v>163445626</v>
      </c>
      <c r="P7" s="278">
        <f>P8+P13+P16+P17+P20</f>
        <v>203631553</v>
      </c>
      <c r="Q7" s="218">
        <f t="shared" si="0"/>
        <v>212594816</v>
      </c>
      <c r="R7" s="919">
        <f>+Q7/P7</f>
        <v>1.0440170635048882</v>
      </c>
      <c r="S7" s="278">
        <f aca="true" t="shared" si="1" ref="S7:X7">S8+S13+S16+S17+S20</f>
        <v>29286774</v>
      </c>
      <c r="T7" s="278">
        <f t="shared" si="1"/>
        <v>29286774</v>
      </c>
      <c r="U7" s="278">
        <f t="shared" si="1"/>
        <v>29496774</v>
      </c>
      <c r="V7" s="278">
        <f t="shared" si="1"/>
        <v>31226774</v>
      </c>
      <c r="W7" s="278">
        <f t="shared" si="1"/>
        <v>27501068</v>
      </c>
      <c r="X7" s="278">
        <f t="shared" si="1"/>
        <v>13944728</v>
      </c>
      <c r="Y7" s="919">
        <f>+X7/W7</f>
        <v>0.5070613257637849</v>
      </c>
      <c r="Z7" s="278">
        <f aca="true" t="shared" si="2" ref="Z7:AE7">Z8+Z13+Z16+Z17+Z20</f>
        <v>6843890</v>
      </c>
      <c r="AA7" s="278">
        <f t="shared" si="2"/>
        <v>6843890</v>
      </c>
      <c r="AB7" s="278">
        <f t="shared" si="2"/>
        <v>6843890</v>
      </c>
      <c r="AC7" s="278">
        <f t="shared" si="2"/>
        <v>6843890</v>
      </c>
      <c r="AD7" s="278">
        <f t="shared" si="2"/>
        <v>6843890</v>
      </c>
      <c r="AE7" s="278">
        <f t="shared" si="2"/>
        <v>5610894</v>
      </c>
      <c r="AF7" s="919">
        <f>+AE7/AD7</f>
        <v>0.8198398863804065</v>
      </c>
      <c r="AG7" s="731"/>
    </row>
    <row r="8" spans="1:33" ht="21.75" customHeight="1">
      <c r="A8" s="460"/>
      <c r="B8" s="183" t="s">
        <v>35</v>
      </c>
      <c r="C8" s="1533" t="s">
        <v>281</v>
      </c>
      <c r="D8" s="1533"/>
      <c r="E8" s="333">
        <f aca="true" t="shared" si="3" ref="E8:L8">SUM(E9:E12)</f>
        <v>19500000</v>
      </c>
      <c r="F8" s="334">
        <f t="shared" si="3"/>
        <v>19500000</v>
      </c>
      <c r="G8" s="334">
        <f t="shared" si="3"/>
        <v>19500000</v>
      </c>
      <c r="H8" s="334">
        <f>SUM(H9:H12)</f>
        <v>19500000</v>
      </c>
      <c r="I8" s="334">
        <f t="shared" si="3"/>
        <v>19003963</v>
      </c>
      <c r="J8" s="334">
        <f t="shared" si="3"/>
        <v>18435803</v>
      </c>
      <c r="K8" s="920">
        <f aca="true" t="shared" si="4" ref="K8:K64">+J8/I8</f>
        <v>0.9701030779737889</v>
      </c>
      <c r="L8" s="333">
        <f t="shared" si="3"/>
        <v>19500000</v>
      </c>
      <c r="M8" s="333">
        <f>SUM(M9:M12)</f>
        <v>19500000</v>
      </c>
      <c r="N8" s="333">
        <f>SUM(N9:N12)</f>
        <v>19500000</v>
      </c>
      <c r="O8" s="333">
        <f>SUM(O9:O12)</f>
        <v>19500000</v>
      </c>
      <c r="P8" s="333">
        <f>SUM(P9:P12)</f>
        <v>19003963</v>
      </c>
      <c r="Q8" s="333">
        <f>SUM(Q9:Q12)</f>
        <v>18435803</v>
      </c>
      <c r="R8" s="920">
        <f aca="true" t="shared" si="5" ref="R8:R64">+Q8/P8</f>
        <v>0.9701030779737889</v>
      </c>
      <c r="S8" s="333">
        <v>0</v>
      </c>
      <c r="T8" s="333">
        <v>0</v>
      </c>
      <c r="U8" s="333">
        <v>0</v>
      </c>
      <c r="V8" s="333">
        <v>0</v>
      </c>
      <c r="W8" s="333">
        <v>0</v>
      </c>
      <c r="X8" s="333">
        <v>0</v>
      </c>
      <c r="Y8" s="920"/>
      <c r="Z8" s="333">
        <v>0</v>
      </c>
      <c r="AA8" s="333">
        <v>0</v>
      </c>
      <c r="AB8" s="333">
        <v>0</v>
      </c>
      <c r="AC8" s="333">
        <v>0</v>
      </c>
      <c r="AD8" s="333">
        <v>0</v>
      </c>
      <c r="AE8" s="333">
        <v>0</v>
      </c>
      <c r="AF8" s="920"/>
      <c r="AG8" s="731"/>
    </row>
    <row r="9" spans="1:33" ht="21.75" customHeight="1">
      <c r="A9" s="62"/>
      <c r="B9" s="58"/>
      <c r="C9" s="58" t="s">
        <v>286</v>
      </c>
      <c r="D9" s="184" t="s">
        <v>282</v>
      </c>
      <c r="E9" s="280">
        <f>'3.sz.m Önk  bev.'!E9</f>
        <v>0</v>
      </c>
      <c r="F9" s="220">
        <f>'3.sz.m Önk  bev.'!F9</f>
        <v>0</v>
      </c>
      <c r="G9" s="220">
        <f>'3.sz.m Önk  bev.'!G9</f>
        <v>0</v>
      </c>
      <c r="H9" s="220">
        <f>'3.sz.m Önk  bev.'!H9</f>
        <v>0</v>
      </c>
      <c r="I9" s="220">
        <f>'3.sz.m Önk  bev.'!I9</f>
        <v>0</v>
      </c>
      <c r="J9" s="220">
        <f>'3.sz.m Önk  bev.'!J9</f>
        <v>0</v>
      </c>
      <c r="K9" s="921"/>
      <c r="L9" s="280">
        <f>'3.sz.m Önk  bev.'!L9</f>
        <v>0</v>
      </c>
      <c r="M9" s="280">
        <f>'3.sz.m Önk  bev.'!M9</f>
        <v>0</v>
      </c>
      <c r="N9" s="280">
        <f>'3.sz.m Önk  bev.'!N9</f>
        <v>0</v>
      </c>
      <c r="O9" s="280">
        <f>'3.sz.m Önk  bev.'!O9</f>
        <v>0</v>
      </c>
      <c r="P9" s="280">
        <f>'3.sz.m Önk  bev.'!P9</f>
        <v>0</v>
      </c>
      <c r="Q9" s="280">
        <f>'3.sz.m Önk  bev.'!Q9</f>
        <v>0</v>
      </c>
      <c r="R9" s="921"/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921"/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921"/>
      <c r="AG9" s="731"/>
    </row>
    <row r="10" spans="1:33" ht="21.75" customHeight="1">
      <c r="A10" s="62"/>
      <c r="B10" s="58"/>
      <c r="C10" s="58" t="s">
        <v>287</v>
      </c>
      <c r="D10" s="184" t="s">
        <v>267</v>
      </c>
      <c r="E10" s="280">
        <f>'3.sz.m Önk  bev.'!E10</f>
        <v>0</v>
      </c>
      <c r="F10" s="220">
        <f>'3.sz.m Önk  bev.'!F10</f>
        <v>0</v>
      </c>
      <c r="G10" s="220">
        <f>'3.sz.m Önk  bev.'!G10</f>
        <v>0</v>
      </c>
      <c r="H10" s="220">
        <f>'3.sz.m Önk  bev.'!H10</f>
        <v>0</v>
      </c>
      <c r="I10" s="220">
        <f>'3.sz.m Önk  bev.'!I10</f>
        <v>0</v>
      </c>
      <c r="J10" s="220">
        <f>'3.sz.m Önk  bev.'!J10</f>
        <v>0</v>
      </c>
      <c r="K10" s="921"/>
      <c r="L10" s="280">
        <f>'3.sz.m Önk  bev.'!L10</f>
        <v>0</v>
      </c>
      <c r="M10" s="280">
        <f>'3.sz.m Önk  bev.'!M10</f>
        <v>0</v>
      </c>
      <c r="N10" s="280">
        <f>'3.sz.m Önk  bev.'!N10</f>
        <v>0</v>
      </c>
      <c r="O10" s="280">
        <f>'3.sz.m Önk  bev.'!O10</f>
        <v>0</v>
      </c>
      <c r="P10" s="280">
        <f>'3.sz.m Önk  bev.'!P10</f>
        <v>0</v>
      </c>
      <c r="Q10" s="280">
        <f>'3.sz.m Önk  bev.'!Q10</f>
        <v>0</v>
      </c>
      <c r="R10" s="921"/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921"/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921"/>
      <c r="AG10" s="731"/>
    </row>
    <row r="11" spans="1:33" ht="21.75" customHeight="1">
      <c r="A11" s="62"/>
      <c r="B11" s="58"/>
      <c r="C11" s="58" t="s">
        <v>288</v>
      </c>
      <c r="D11" s="184" t="s">
        <v>266</v>
      </c>
      <c r="E11" s="280">
        <f>'3.sz.m Önk  bev.'!E11</f>
        <v>19500000</v>
      </c>
      <c r="F11" s="220">
        <f>'3.sz.m Önk  bev.'!F11</f>
        <v>19500000</v>
      </c>
      <c r="G11" s="220">
        <f>'3.sz.m Önk  bev.'!G11</f>
        <v>19500000</v>
      </c>
      <c r="H11" s="220">
        <f>'3.sz.m Önk  bev.'!H11</f>
        <v>19500000</v>
      </c>
      <c r="I11" s="220">
        <f>'3.sz.m Önk  bev.'!I11</f>
        <v>19003963</v>
      </c>
      <c r="J11" s="220">
        <f>'3.sz.m Önk  bev.'!J11</f>
        <v>18435803</v>
      </c>
      <c r="K11" s="921">
        <f t="shared" si="4"/>
        <v>0.9701030779737889</v>
      </c>
      <c r="L11" s="280">
        <f>'3.sz.m Önk  bev.'!L11</f>
        <v>19500000</v>
      </c>
      <c r="M11" s="280">
        <f>'3.sz.m Önk  bev.'!M11</f>
        <v>19500000</v>
      </c>
      <c r="N11" s="280">
        <f>'3.sz.m Önk  bev.'!N11</f>
        <v>19500000</v>
      </c>
      <c r="O11" s="280">
        <f>'3.sz.m Önk  bev.'!O11</f>
        <v>19500000</v>
      </c>
      <c r="P11" s="280">
        <f>'3.sz.m Önk  bev.'!P11</f>
        <v>19003963</v>
      </c>
      <c r="Q11" s="280">
        <f>'3.sz.m Önk  bev.'!Q11</f>
        <v>18435803</v>
      </c>
      <c r="R11" s="921">
        <f t="shared" si="5"/>
        <v>0.9701030779737889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921"/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921"/>
      <c r="AG11" s="731"/>
    </row>
    <row r="12" spans="1:35" ht="21.75" customHeight="1" hidden="1">
      <c r="A12" s="62"/>
      <c r="B12" s="58"/>
      <c r="C12" s="58"/>
      <c r="D12" s="184"/>
      <c r="E12" s="280"/>
      <c r="F12" s="220"/>
      <c r="G12" s="220"/>
      <c r="H12" s="220"/>
      <c r="I12" s="220"/>
      <c r="J12" s="220"/>
      <c r="K12" s="921" t="e">
        <f t="shared" si="4"/>
        <v>#DIV/0!</v>
      </c>
      <c r="L12" s="280"/>
      <c r="M12" s="280"/>
      <c r="N12" s="280"/>
      <c r="O12" s="280"/>
      <c r="P12" s="280"/>
      <c r="Q12" s="280"/>
      <c r="R12" s="921" t="e">
        <f t="shared" si="5"/>
        <v>#DIV/0!</v>
      </c>
      <c r="S12" s="280"/>
      <c r="T12" s="280"/>
      <c r="U12" s="280"/>
      <c r="V12" s="280"/>
      <c r="W12" s="280"/>
      <c r="X12" s="280"/>
      <c r="Y12" s="921" t="e">
        <f>+X12/W12</f>
        <v>#DIV/0!</v>
      </c>
      <c r="Z12" s="280"/>
      <c r="AA12" s="280"/>
      <c r="AB12" s="280"/>
      <c r="AC12" s="280"/>
      <c r="AD12" s="280"/>
      <c r="AE12" s="280"/>
      <c r="AF12" s="921" t="e">
        <f>+AE12/AD12</f>
        <v>#DIV/0!</v>
      </c>
      <c r="AG12" s="731"/>
      <c r="AI12" s="245" t="s">
        <v>240</v>
      </c>
    </row>
    <row r="13" spans="1:33" ht="21.75" customHeight="1">
      <c r="A13" s="62"/>
      <c r="B13" s="58" t="s">
        <v>36</v>
      </c>
      <c r="C13" s="1537" t="s">
        <v>283</v>
      </c>
      <c r="D13" s="1537"/>
      <c r="E13" s="280">
        <f aca="true" t="shared" si="6" ref="E13:J13">SUM(E14:E15)</f>
        <v>160000000</v>
      </c>
      <c r="F13" s="220">
        <f t="shared" si="6"/>
        <v>160000000</v>
      </c>
      <c r="G13" s="220">
        <f t="shared" si="6"/>
        <v>160000000</v>
      </c>
      <c r="H13" s="220">
        <f t="shared" si="6"/>
        <v>160000000</v>
      </c>
      <c r="I13" s="220">
        <f t="shared" si="6"/>
        <v>194946510</v>
      </c>
      <c r="J13" s="220">
        <f t="shared" si="6"/>
        <v>192680896</v>
      </c>
      <c r="K13" s="921">
        <f t="shared" si="4"/>
        <v>0.988378278739127</v>
      </c>
      <c r="L13" s="280">
        <f aca="true" t="shared" si="7" ref="L13:Q13">SUM(L14:L15)</f>
        <v>130713226</v>
      </c>
      <c r="M13" s="280">
        <f t="shared" si="7"/>
        <v>130713226</v>
      </c>
      <c r="N13" s="280">
        <f t="shared" si="7"/>
        <v>130503226</v>
      </c>
      <c r="O13" s="280">
        <f t="shared" si="7"/>
        <v>128773226</v>
      </c>
      <c r="P13" s="280">
        <f t="shared" si="7"/>
        <v>167445442</v>
      </c>
      <c r="Q13" s="280">
        <f t="shared" si="7"/>
        <v>178736168</v>
      </c>
      <c r="R13" s="921">
        <f t="shared" si="5"/>
        <v>1.0674292824286014</v>
      </c>
      <c r="S13" s="280">
        <f aca="true" t="shared" si="8" ref="S13:X13">SUM(S14:S15)</f>
        <v>29286774</v>
      </c>
      <c r="T13" s="280">
        <f t="shared" si="8"/>
        <v>29286774</v>
      </c>
      <c r="U13" s="280">
        <f t="shared" si="8"/>
        <v>29496774</v>
      </c>
      <c r="V13" s="280">
        <f t="shared" si="8"/>
        <v>31226774</v>
      </c>
      <c r="W13" s="280">
        <f t="shared" si="8"/>
        <v>27501068</v>
      </c>
      <c r="X13" s="280">
        <f t="shared" si="8"/>
        <v>13944728</v>
      </c>
      <c r="Y13" s="921">
        <f>+X13/W13</f>
        <v>0.5070613257637849</v>
      </c>
      <c r="Z13" s="280">
        <f aca="true" t="shared" si="9" ref="Z13:AE13">SUM(Z14:Z15)</f>
        <v>6843890</v>
      </c>
      <c r="AA13" s="280">
        <f t="shared" si="9"/>
        <v>6843890</v>
      </c>
      <c r="AB13" s="280">
        <f t="shared" si="9"/>
        <v>6843890</v>
      </c>
      <c r="AC13" s="280">
        <f t="shared" si="9"/>
        <v>6843890</v>
      </c>
      <c r="AD13" s="280">
        <f t="shared" si="9"/>
        <v>6843890</v>
      </c>
      <c r="AE13" s="280">
        <f t="shared" si="9"/>
        <v>5610894</v>
      </c>
      <c r="AF13" s="921">
        <f>+AE13/AD13</f>
        <v>0.8198398863804065</v>
      </c>
      <c r="AG13" s="731"/>
    </row>
    <row r="14" spans="1:33" ht="21.75" customHeight="1">
      <c r="A14" s="62"/>
      <c r="B14" s="58"/>
      <c r="C14" s="58" t="s">
        <v>284</v>
      </c>
      <c r="D14" s="415" t="s">
        <v>289</v>
      </c>
      <c r="E14" s="280">
        <f>'3.sz.m Önk  bev.'!E14</f>
        <v>160000000</v>
      </c>
      <c r="F14" s="220">
        <f>'3.sz.m Önk  bev.'!F14</f>
        <v>160000000</v>
      </c>
      <c r="G14" s="220">
        <f>'3.sz.m Önk  bev.'!G14</f>
        <v>160000000</v>
      </c>
      <c r="H14" s="220">
        <f>'3.sz.m Önk  bev.'!H14</f>
        <v>160000000</v>
      </c>
      <c r="I14" s="220">
        <f>'3.sz.m Önk  bev.'!I14</f>
        <v>194946510</v>
      </c>
      <c r="J14" s="220">
        <f>'3.sz.m Önk  bev.'!J14</f>
        <v>192680896</v>
      </c>
      <c r="K14" s="921">
        <f t="shared" si="4"/>
        <v>0.988378278739127</v>
      </c>
      <c r="L14" s="280">
        <f>'3.sz.m Önk  bev.'!L14</f>
        <v>130713226</v>
      </c>
      <c r="M14" s="280">
        <f>'3.sz.m Önk  bev.'!M14</f>
        <v>130713226</v>
      </c>
      <c r="N14" s="280">
        <f>'3.sz.m Önk  bev.'!N14</f>
        <v>130503226</v>
      </c>
      <c r="O14" s="280">
        <f>'3.sz.m Önk  bev.'!O14</f>
        <v>128773226</v>
      </c>
      <c r="P14" s="280">
        <f>'3.sz.m Önk  bev.'!P14</f>
        <v>167445442</v>
      </c>
      <c r="Q14" s="280">
        <f>'3.sz.m Önk  bev.'!Q14</f>
        <v>178736168</v>
      </c>
      <c r="R14" s="921">
        <f t="shared" si="5"/>
        <v>1.0674292824286014</v>
      </c>
      <c r="S14" s="280">
        <f>'3.sz.m Önk  bev.'!S14</f>
        <v>29286774</v>
      </c>
      <c r="T14" s="280">
        <f>'3.sz.m Önk  bev.'!T14</f>
        <v>29286774</v>
      </c>
      <c r="U14" s="280">
        <f>'3.sz.m Önk  bev.'!U14</f>
        <v>29496774</v>
      </c>
      <c r="V14" s="280">
        <f>'3.sz.m Önk  bev.'!V14</f>
        <v>31226774</v>
      </c>
      <c r="W14" s="280">
        <f>'3.sz.m Önk  bev.'!W14</f>
        <v>27501068</v>
      </c>
      <c r="X14" s="280">
        <f>'3.sz.m Önk  bev.'!X14</f>
        <v>13944728</v>
      </c>
      <c r="Y14" s="921">
        <f>+X14/W14</f>
        <v>0.5070613257637849</v>
      </c>
      <c r="Z14" s="696">
        <f>+'1 .sz.m.önk.össz.kiad.'!Z36</f>
        <v>6843890</v>
      </c>
      <c r="AA14" s="696">
        <f>+'1 .sz.m.önk.össz.kiad.'!AA36</f>
        <v>6843890</v>
      </c>
      <c r="AB14" s="696">
        <f>+'1 .sz.m.önk.össz.kiad.'!AB36</f>
        <v>6843890</v>
      </c>
      <c r="AC14" s="696">
        <f>+'1 .sz.m.önk.össz.kiad.'!AC36</f>
        <v>6843890</v>
      </c>
      <c r="AD14" s="696">
        <f>+'1 .sz.m.önk.össz.kiad.'!AD36</f>
        <v>6843890</v>
      </c>
      <c r="AE14" s="280">
        <v>5610894</v>
      </c>
      <c r="AF14" s="921">
        <f>+AE14/AD14</f>
        <v>0.8198398863804065</v>
      </c>
      <c r="AG14" s="731"/>
    </row>
    <row r="15" spans="1:33" ht="21.75" customHeight="1">
      <c r="A15" s="62"/>
      <c r="B15" s="58"/>
      <c r="C15" s="58" t="s">
        <v>285</v>
      </c>
      <c r="D15" s="415" t="s">
        <v>290</v>
      </c>
      <c r="E15" s="280">
        <f>'3.sz.m Önk  bev.'!E15</f>
        <v>0</v>
      </c>
      <c r="F15" s="220">
        <f>'3.sz.m Önk  bev.'!F15</f>
        <v>0</v>
      </c>
      <c r="G15" s="220">
        <f>'3.sz.m Önk  bev.'!G15</f>
        <v>0</v>
      </c>
      <c r="H15" s="220">
        <f>'3.sz.m Önk  bev.'!H15</f>
        <v>0</v>
      </c>
      <c r="I15" s="220">
        <f>'3.sz.m Önk  bev.'!I15</f>
        <v>0</v>
      </c>
      <c r="J15" s="220">
        <f>'3.sz.m Önk  bev.'!J15</f>
        <v>0</v>
      </c>
      <c r="K15" s="921"/>
      <c r="L15" s="280">
        <f>'3.sz.m Önk  bev.'!L15</f>
        <v>0</v>
      </c>
      <c r="M15" s="280">
        <f>'3.sz.m Önk  bev.'!M15</f>
        <v>0</v>
      </c>
      <c r="N15" s="280">
        <f>'3.sz.m Önk  bev.'!N15</f>
        <v>0</v>
      </c>
      <c r="O15" s="280">
        <f>'3.sz.m Önk  bev.'!O15</f>
        <v>0</v>
      </c>
      <c r="P15" s="280">
        <f>'3.sz.m Önk  bev.'!P15</f>
        <v>0</v>
      </c>
      <c r="Q15" s="280">
        <v>0</v>
      </c>
      <c r="R15" s="921"/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921"/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921"/>
      <c r="AG15" s="731"/>
    </row>
    <row r="16" spans="1:33" ht="21.75" customHeight="1">
      <c r="A16" s="62"/>
      <c r="B16" s="58" t="s">
        <v>112</v>
      </c>
      <c r="C16" s="1537" t="s">
        <v>291</v>
      </c>
      <c r="D16" s="1537"/>
      <c r="E16" s="280">
        <f>'3.sz.m Önk  bev.'!E16</f>
        <v>13900000</v>
      </c>
      <c r="F16" s="220">
        <f>'3.sz.m Önk  bev.'!F16</f>
        <v>13900000</v>
      </c>
      <c r="G16" s="220">
        <f>'3.sz.m Önk  bev.'!G16</f>
        <v>13900000</v>
      </c>
      <c r="H16" s="220">
        <f>'3.sz.m Önk  bev.'!H16</f>
        <v>13900000</v>
      </c>
      <c r="I16" s="220">
        <f>'3.sz.m Önk  bev.'!I16</f>
        <v>13973435</v>
      </c>
      <c r="J16" s="220">
        <f>'3.sz.m Önk  bev.'!J16</f>
        <v>13727881</v>
      </c>
      <c r="K16" s="921">
        <f t="shared" si="4"/>
        <v>0.9824270839632488</v>
      </c>
      <c r="L16" s="280">
        <f>'3.sz.m Önk  bev.'!L16</f>
        <v>13900000</v>
      </c>
      <c r="M16" s="280">
        <f>'3.sz.m Önk  bev.'!M16</f>
        <v>13900000</v>
      </c>
      <c r="N16" s="280">
        <f>'3.sz.m Önk  bev.'!N16</f>
        <v>13900000</v>
      </c>
      <c r="O16" s="280">
        <f>'3.sz.m Önk  bev.'!O16</f>
        <v>13900000</v>
      </c>
      <c r="P16" s="280">
        <f>'3.sz.m Önk  bev.'!P16</f>
        <v>13973435</v>
      </c>
      <c r="Q16" s="280">
        <f>'3.sz.m Önk  bev.'!Q16</f>
        <v>13727881</v>
      </c>
      <c r="R16" s="921">
        <f t="shared" si="5"/>
        <v>0.9824270839632488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921"/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921"/>
      <c r="AG16" s="731"/>
    </row>
    <row r="17" spans="1:33" ht="21.75" customHeight="1">
      <c r="A17" s="62"/>
      <c r="B17" s="58" t="s">
        <v>48</v>
      </c>
      <c r="C17" s="1538" t="s">
        <v>292</v>
      </c>
      <c r="D17" s="1539"/>
      <c r="E17" s="280">
        <f aca="true" t="shared" si="10" ref="E17:L17">SUM(E18:E19)</f>
        <v>0</v>
      </c>
      <c r="F17" s="220">
        <f t="shared" si="10"/>
        <v>0</v>
      </c>
      <c r="G17" s="220">
        <f t="shared" si="10"/>
        <v>0</v>
      </c>
      <c r="H17" s="220">
        <f>SUM(H18:H19)</f>
        <v>0</v>
      </c>
      <c r="I17" s="220">
        <f t="shared" si="10"/>
        <v>0</v>
      </c>
      <c r="J17" s="220">
        <f t="shared" si="10"/>
        <v>0</v>
      </c>
      <c r="K17" s="921"/>
      <c r="L17" s="280">
        <f t="shared" si="10"/>
        <v>0</v>
      </c>
      <c r="M17" s="280">
        <f>SUM(M18:M19)</f>
        <v>0</v>
      </c>
      <c r="N17" s="280">
        <f>SUM(N18:N19)</f>
        <v>0</v>
      </c>
      <c r="O17" s="280">
        <f>SUM(O18:O19)</f>
        <v>0</v>
      </c>
      <c r="P17" s="280">
        <f>SUM(P18:P19)</f>
        <v>0</v>
      </c>
      <c r="Q17" s="280">
        <f>SUM(Q18:Q19)</f>
        <v>0</v>
      </c>
      <c r="R17" s="921"/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921"/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921"/>
      <c r="AG17" s="731"/>
    </row>
    <row r="18" spans="1:33" ht="21.75" customHeight="1">
      <c r="A18" s="62"/>
      <c r="B18" s="58"/>
      <c r="C18" s="58" t="s">
        <v>293</v>
      </c>
      <c r="D18" s="415" t="s">
        <v>295</v>
      </c>
      <c r="E18" s="280">
        <f>'3.sz.m Önk  bev.'!E18</f>
        <v>0</v>
      </c>
      <c r="F18" s="220">
        <f>'3.sz.m Önk  bev.'!F18</f>
        <v>0</v>
      </c>
      <c r="G18" s="220">
        <f>'3.sz.m Önk  bev.'!G18</f>
        <v>0</v>
      </c>
      <c r="H18" s="220">
        <f>'3.sz.m Önk  bev.'!H18</f>
        <v>0</v>
      </c>
      <c r="I18" s="220">
        <f>'3.sz.m Önk  bev.'!I18</f>
        <v>0</v>
      </c>
      <c r="J18" s="220">
        <f>'3.sz.m Önk  bev.'!J18</f>
        <v>0</v>
      </c>
      <c r="K18" s="921"/>
      <c r="L18" s="280">
        <f>'3.sz.m Önk  bev.'!L18</f>
        <v>0</v>
      </c>
      <c r="M18" s="280">
        <f>'3.sz.m Önk  bev.'!M18</f>
        <v>0</v>
      </c>
      <c r="N18" s="280">
        <f>'3.sz.m Önk  bev.'!N18</f>
        <v>0</v>
      </c>
      <c r="O18" s="280">
        <f>'3.sz.m Önk  bev.'!O18</f>
        <v>0</v>
      </c>
      <c r="P18" s="280">
        <f>'3.sz.m Önk  bev.'!P18</f>
        <v>0</v>
      </c>
      <c r="Q18" s="280">
        <f>'3.sz.m Önk  bev.'!Q18</f>
        <v>0</v>
      </c>
      <c r="R18" s="921"/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921"/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921"/>
      <c r="AG18" s="731"/>
    </row>
    <row r="19" spans="1:33" ht="21.75" customHeight="1" hidden="1">
      <c r="A19" s="62"/>
      <c r="B19" s="58"/>
      <c r="C19" s="58" t="s">
        <v>294</v>
      </c>
      <c r="D19" s="415" t="s">
        <v>268</v>
      </c>
      <c r="E19" s="280">
        <f>'3.sz.m Önk  bev.'!E19</f>
        <v>0</v>
      </c>
      <c r="F19" s="220">
        <f>'3.sz.m Önk  bev.'!F19</f>
        <v>0</v>
      </c>
      <c r="G19" s="220">
        <f>'3.sz.m Önk  bev.'!G19</f>
        <v>0</v>
      </c>
      <c r="H19" s="220">
        <f>'3.sz.m Önk  bev.'!H19</f>
        <v>0</v>
      </c>
      <c r="I19" s="220">
        <f>'3.sz.m Önk  bev.'!I19</f>
        <v>0</v>
      </c>
      <c r="J19" s="220">
        <f>'3.sz.m Önk  bev.'!J19</f>
        <v>0</v>
      </c>
      <c r="K19" s="921" t="e">
        <f t="shared" si="4"/>
        <v>#DIV/0!</v>
      </c>
      <c r="L19" s="280">
        <f>'3.sz.m Önk  bev.'!L19</f>
        <v>0</v>
      </c>
      <c r="M19" s="280">
        <f>'3.sz.m Önk  bev.'!M19</f>
        <v>0</v>
      </c>
      <c r="N19" s="280">
        <f>'3.sz.m Önk  bev.'!N19</f>
        <v>0</v>
      </c>
      <c r="O19" s="280">
        <f>'3.sz.m Önk  bev.'!O19</f>
        <v>0</v>
      </c>
      <c r="P19" s="280">
        <f>'3.sz.m Önk  bev.'!P19</f>
        <v>0</v>
      </c>
      <c r="Q19" s="280">
        <f>'3.sz.m Önk  bev.'!Q19</f>
        <v>0</v>
      </c>
      <c r="R19" s="921" t="e">
        <f t="shared" si="5"/>
        <v>#DIV/0!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921" t="e">
        <f>+X19/W19</f>
        <v>#DIV/0!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921" t="e">
        <f>+AE19/AD19</f>
        <v>#DIV/0!</v>
      </c>
      <c r="AG19" s="731"/>
    </row>
    <row r="20" spans="1:33" ht="21.75" customHeight="1" thickBot="1">
      <c r="A20" s="335"/>
      <c r="B20" s="461" t="s">
        <v>49</v>
      </c>
      <c r="C20" s="1540" t="s">
        <v>296</v>
      </c>
      <c r="D20" s="1541"/>
      <c r="E20" s="280">
        <f>'3.sz.m Önk  bev.'!E20</f>
        <v>1060000</v>
      </c>
      <c r="F20" s="220">
        <f>'3.sz.m Önk  bev.'!F20</f>
        <v>1272400</v>
      </c>
      <c r="G20" s="220">
        <f>'3.sz.m Önk  bev.'!G20</f>
        <v>1272400</v>
      </c>
      <c r="H20" s="220">
        <f>'3.sz.m Önk  bev.'!H20</f>
        <v>1272400</v>
      </c>
      <c r="I20" s="220">
        <f>'3.sz.m Önk  bev.'!I20</f>
        <v>3208713</v>
      </c>
      <c r="J20" s="220">
        <f>'3.sz.m Önk  bev.'!J20</f>
        <v>1694964</v>
      </c>
      <c r="K20" s="921">
        <f t="shared" si="4"/>
        <v>0.5282379570874678</v>
      </c>
      <c r="L20" s="280">
        <f>'3.sz.m Önk  bev.'!L20</f>
        <v>1060000</v>
      </c>
      <c r="M20" s="280">
        <f>'3.sz.m Önk  bev.'!M20</f>
        <v>1272400</v>
      </c>
      <c r="N20" s="280">
        <f>'3.sz.m Önk  bev.'!N20</f>
        <v>1272400</v>
      </c>
      <c r="O20" s="280">
        <f>'3.sz.m Önk  bev.'!O20</f>
        <v>1272400</v>
      </c>
      <c r="P20" s="280">
        <f>'3.sz.m Önk  bev.'!P20</f>
        <v>3208713</v>
      </c>
      <c r="Q20" s="280">
        <f>'3.sz.m Önk  bev.'!Q20</f>
        <v>1694964</v>
      </c>
      <c r="R20" s="921">
        <f t="shared" si="5"/>
        <v>0.5282379570874678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921"/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921"/>
      <c r="AG20" s="731"/>
    </row>
    <row r="21" spans="1:33" ht="21.75" customHeight="1" thickBot="1">
      <c r="A21" s="65" t="s">
        <v>297</v>
      </c>
      <c r="B21" s="1525" t="s">
        <v>298</v>
      </c>
      <c r="C21" s="1525"/>
      <c r="D21" s="1525"/>
      <c r="E21" s="278">
        <f>E22+E23+E25+E29+E30+E31+E32+E24</f>
        <v>72113054</v>
      </c>
      <c r="F21" s="278">
        <f>F22+F23+F25+F29+F30+F31+F32+F24</f>
        <v>66248820</v>
      </c>
      <c r="G21" s="278">
        <f>G22+G23+G25+G29+G30+G31+G32+G24</f>
        <v>63049091</v>
      </c>
      <c r="H21" s="278">
        <f>H22+H23+H25+H29+H30+H31+H32+H24</f>
        <v>75868670</v>
      </c>
      <c r="I21" s="278">
        <f>I22+I23+I25+I29+I30+I31+I32+I24+I33</f>
        <v>71492628</v>
      </c>
      <c r="J21" s="278">
        <f>J22+J23+J25+J29+J30+J31+J32+J24+J33</f>
        <v>71417044</v>
      </c>
      <c r="K21" s="922">
        <f t="shared" si="4"/>
        <v>0.9989427721135108</v>
      </c>
      <c r="L21" s="278">
        <f aca="true" t="shared" si="11" ref="L21:Q21">L22+L23+L25+L29+L30+L31+L32+L24</f>
        <v>71732054</v>
      </c>
      <c r="M21" s="278">
        <f t="shared" si="11"/>
        <v>65867820</v>
      </c>
      <c r="N21" s="278">
        <f t="shared" si="11"/>
        <v>62668091</v>
      </c>
      <c r="O21" s="278">
        <f t="shared" si="11"/>
        <v>75487670</v>
      </c>
      <c r="P21" s="278">
        <f t="shared" si="11"/>
        <v>71295016</v>
      </c>
      <c r="Q21" s="278">
        <f t="shared" si="11"/>
        <v>71219432</v>
      </c>
      <c r="R21" s="922">
        <f t="shared" si="5"/>
        <v>0.9989398417415322</v>
      </c>
      <c r="S21" s="278">
        <f aca="true" t="shared" si="12" ref="S21:X21">S22+S23+S25+S29+S30+S31+S32</f>
        <v>381000</v>
      </c>
      <c r="T21" s="278">
        <f t="shared" si="12"/>
        <v>381000</v>
      </c>
      <c r="U21" s="278">
        <f t="shared" si="12"/>
        <v>381000</v>
      </c>
      <c r="V21" s="278">
        <f t="shared" si="12"/>
        <v>381000</v>
      </c>
      <c r="W21" s="278">
        <f t="shared" si="12"/>
        <v>197612</v>
      </c>
      <c r="X21" s="278">
        <f t="shared" si="12"/>
        <v>197612</v>
      </c>
      <c r="Y21" s="922">
        <f>+X21/W21</f>
        <v>1</v>
      </c>
      <c r="Z21" s="278">
        <f aca="true" t="shared" si="13" ref="Z21:AE21">Z22+Z23+Z25+Z29+Z30+Z31+Z32</f>
        <v>0</v>
      </c>
      <c r="AA21" s="278">
        <f t="shared" si="13"/>
        <v>0</v>
      </c>
      <c r="AB21" s="278">
        <f t="shared" si="13"/>
        <v>0</v>
      </c>
      <c r="AC21" s="278">
        <f t="shared" si="13"/>
        <v>0</v>
      </c>
      <c r="AD21" s="278">
        <f t="shared" si="13"/>
        <v>0</v>
      </c>
      <c r="AE21" s="278">
        <f t="shared" si="13"/>
        <v>0</v>
      </c>
      <c r="AF21" s="922"/>
      <c r="AG21" s="731"/>
    </row>
    <row r="22" spans="1:33" ht="21.75" customHeight="1">
      <c r="A22" s="63"/>
      <c r="B22" s="64" t="s">
        <v>38</v>
      </c>
      <c r="C22" s="1529" t="s">
        <v>299</v>
      </c>
      <c r="D22" s="1529"/>
      <c r="E22" s="219">
        <f>'3.sz.m Önk  bev.'!E22+'5.1 sz. m Köz Hiv'!D10+'5.2 sz. m ÁMK'!D10</f>
        <v>27466576</v>
      </c>
      <c r="F22" s="219">
        <f>'3.sz.m Önk  bev.'!F22+'5.1 sz. m Köz Hiv'!E10+'5.2 sz. m ÁMK'!E10</f>
        <v>27466576</v>
      </c>
      <c r="G22" s="219">
        <f>'3.sz.m Önk  bev.'!G22+'5.1 sz. m Köz Hiv'!F10+'5.2 sz. m ÁMK'!F10</f>
        <v>27466576</v>
      </c>
      <c r="H22" s="219">
        <f>'3.sz.m Önk  bev.'!H22+'5.1 sz. m Köz Hiv'!G10+'5.2 sz. m ÁMK'!G10</f>
        <v>27466576</v>
      </c>
      <c r="I22" s="219">
        <f>'3.sz.m Önk  bev.'!I22+'5.1 sz. m Köz Hiv'!H10+'5.2 sz. m ÁMK'!H10</f>
        <v>30637311</v>
      </c>
      <c r="J22" s="219">
        <f>'3.sz.m Önk  bev.'!J22+'5.1 sz. m Köz Hiv'!I10+'5.2 sz. m ÁMK'!I10</f>
        <v>30626366</v>
      </c>
      <c r="K22" s="923">
        <f t="shared" si="4"/>
        <v>0.9996427558541283</v>
      </c>
      <c r="L22" s="279">
        <f aca="true" t="shared" si="14" ref="L22:Q24">+E22-S22</f>
        <v>27085576</v>
      </c>
      <c r="M22" s="279">
        <f t="shared" si="14"/>
        <v>27085576</v>
      </c>
      <c r="N22" s="279">
        <f t="shared" si="14"/>
        <v>27085576</v>
      </c>
      <c r="O22" s="279">
        <f t="shared" si="14"/>
        <v>27085576</v>
      </c>
      <c r="P22" s="279">
        <f t="shared" si="14"/>
        <v>30492311</v>
      </c>
      <c r="Q22" s="279">
        <f t="shared" si="14"/>
        <v>30481366</v>
      </c>
      <c r="R22" s="923">
        <f t="shared" si="5"/>
        <v>0.9996410570520549</v>
      </c>
      <c r="S22" s="279">
        <f>+'3.sz.m Önk  bev.'!S22</f>
        <v>381000</v>
      </c>
      <c r="T22" s="279">
        <f>+'3.sz.m Önk  bev.'!T22</f>
        <v>381000</v>
      </c>
      <c r="U22" s="279">
        <f>+'3.sz.m Önk  bev.'!U22</f>
        <v>381000</v>
      </c>
      <c r="V22" s="279">
        <f>+'3.sz.m Önk  bev.'!V22</f>
        <v>381000</v>
      </c>
      <c r="W22" s="279">
        <f>+'3.sz.m Önk  bev.'!W22</f>
        <v>145000</v>
      </c>
      <c r="X22" s="279">
        <f>+'3.sz.m Önk  bev.'!X22</f>
        <v>145000</v>
      </c>
      <c r="Y22" s="923">
        <f>+X22/W22</f>
        <v>1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923"/>
      <c r="AG22" s="731"/>
    </row>
    <row r="23" spans="1:33" ht="21.75" customHeight="1">
      <c r="A23" s="62"/>
      <c r="B23" s="58" t="s">
        <v>39</v>
      </c>
      <c r="C23" s="1517" t="s">
        <v>300</v>
      </c>
      <c r="D23" s="1517"/>
      <c r="E23" s="219">
        <f>'3.sz.m Önk  bev.'!E23+'5.2 sz. m ÁMK'!D11</f>
        <v>7183000</v>
      </c>
      <c r="F23" s="219">
        <f>'3.sz.m Önk  bev.'!F23+'5.2 sz. m ÁMK'!E11</f>
        <v>7183000</v>
      </c>
      <c r="G23" s="219">
        <f>'3.sz.m Önk  bev.'!G23+'5.2 sz. m ÁMK'!F11</f>
        <v>7183000</v>
      </c>
      <c r="H23" s="219">
        <f>'3.sz.m Önk  bev.'!H23+'5.2 sz. m ÁMK'!G11</f>
        <v>7183000</v>
      </c>
      <c r="I23" s="219">
        <f>'3.sz.m Önk  bev.'!I23+'5.2 sz. m ÁMK'!H11+'5.1 sz. m Köz Hiv'!H11</f>
        <v>8323183</v>
      </c>
      <c r="J23" s="219">
        <f>'3.sz.m Önk  bev.'!J23+'5.2 sz. m ÁMK'!I11+'5.1 sz. m Köz Hiv'!I11</f>
        <v>8323183</v>
      </c>
      <c r="K23" s="923">
        <f t="shared" si="4"/>
        <v>1</v>
      </c>
      <c r="L23" s="279">
        <f t="shared" si="14"/>
        <v>7183000</v>
      </c>
      <c r="M23" s="279">
        <f t="shared" si="14"/>
        <v>7183000</v>
      </c>
      <c r="N23" s="279">
        <f t="shared" si="14"/>
        <v>7183000</v>
      </c>
      <c r="O23" s="279">
        <f t="shared" si="14"/>
        <v>7183000</v>
      </c>
      <c r="P23" s="279">
        <f t="shared" si="14"/>
        <v>8312583</v>
      </c>
      <c r="Q23" s="279">
        <f t="shared" si="14"/>
        <v>8312583</v>
      </c>
      <c r="R23" s="923">
        <f t="shared" si="5"/>
        <v>1</v>
      </c>
      <c r="S23" s="281">
        <v>0</v>
      </c>
      <c r="T23" s="281">
        <v>0</v>
      </c>
      <c r="U23" s="281">
        <v>0</v>
      </c>
      <c r="V23" s="281">
        <v>0</v>
      </c>
      <c r="W23" s="279">
        <f>+'3.sz.m Önk  bev.'!W23</f>
        <v>10600</v>
      </c>
      <c r="X23" s="279">
        <f>+'3.sz.m Önk  bev.'!X23</f>
        <v>10600</v>
      </c>
      <c r="Y23" s="923">
        <f>+X23/W23</f>
        <v>1</v>
      </c>
      <c r="Z23" s="281">
        <v>0</v>
      </c>
      <c r="AA23" s="281">
        <v>0</v>
      </c>
      <c r="AB23" s="281">
        <v>0</v>
      </c>
      <c r="AC23" s="281">
        <v>0</v>
      </c>
      <c r="AD23" s="281">
        <v>0</v>
      </c>
      <c r="AE23" s="281">
        <v>0</v>
      </c>
      <c r="AF23" s="923"/>
      <c r="AG23" s="731"/>
    </row>
    <row r="24" spans="1:33" ht="21.75" customHeight="1">
      <c r="A24" s="62"/>
      <c r="B24" s="58" t="s">
        <v>457</v>
      </c>
      <c r="C24" s="1517" t="s">
        <v>453</v>
      </c>
      <c r="D24" s="1520"/>
      <c r="E24" s="219">
        <f>'5.2 sz. m ÁMK'!D13</f>
        <v>6595407</v>
      </c>
      <c r="F24" s="219">
        <f>'5.2 sz. m ÁMK'!E13</f>
        <v>6595407</v>
      </c>
      <c r="G24" s="219">
        <f>'5.2 sz. m ÁMK'!F13</f>
        <v>6595407</v>
      </c>
      <c r="H24" s="219">
        <f>'5.2 sz. m ÁMK'!G13</f>
        <v>6595407</v>
      </c>
      <c r="I24" s="219">
        <f>'5.2 sz. m ÁMK'!H13</f>
        <v>6162299</v>
      </c>
      <c r="J24" s="219">
        <f>'5.2 sz. m ÁMK'!I13</f>
        <v>6113794</v>
      </c>
      <c r="K24" s="923">
        <f t="shared" si="4"/>
        <v>0.9921287493515002</v>
      </c>
      <c r="L24" s="279">
        <f t="shared" si="14"/>
        <v>6595407</v>
      </c>
      <c r="M24" s="279">
        <f t="shared" si="14"/>
        <v>6595407</v>
      </c>
      <c r="N24" s="279">
        <f t="shared" si="14"/>
        <v>6595407</v>
      </c>
      <c r="O24" s="279">
        <f t="shared" si="14"/>
        <v>6595407</v>
      </c>
      <c r="P24" s="279">
        <f t="shared" si="14"/>
        <v>6162299</v>
      </c>
      <c r="Q24" s="279">
        <f t="shared" si="14"/>
        <v>6113794</v>
      </c>
      <c r="R24" s="923">
        <f t="shared" si="5"/>
        <v>0.9921287493515002</v>
      </c>
      <c r="S24" s="281"/>
      <c r="T24" s="281"/>
      <c r="U24" s="281"/>
      <c r="V24" s="281"/>
      <c r="W24" s="279"/>
      <c r="X24" s="279"/>
      <c r="Y24" s="923"/>
      <c r="Z24" s="281"/>
      <c r="AA24" s="281"/>
      <c r="AB24" s="281"/>
      <c r="AC24" s="281"/>
      <c r="AD24" s="281"/>
      <c r="AE24" s="281"/>
      <c r="AF24" s="923"/>
      <c r="AG24" s="731"/>
    </row>
    <row r="25" spans="1:33" ht="21.75" customHeight="1">
      <c r="A25" s="62"/>
      <c r="B25" s="58" t="s">
        <v>269</v>
      </c>
      <c r="C25" s="1517" t="s">
        <v>301</v>
      </c>
      <c r="D25" s="1517"/>
      <c r="E25" s="221">
        <f aca="true" t="shared" si="15" ref="E25:J25">SUM(E26:E28)</f>
        <v>1083712</v>
      </c>
      <c r="F25" s="221">
        <f t="shared" si="15"/>
        <v>1083712</v>
      </c>
      <c r="G25" s="221">
        <f>SUM(G26:G28)</f>
        <v>1083712</v>
      </c>
      <c r="H25" s="221">
        <f>SUM(H26:H28)</f>
        <v>1864426</v>
      </c>
      <c r="I25" s="221">
        <f t="shared" si="15"/>
        <v>1043112</v>
      </c>
      <c r="J25" s="221">
        <f t="shared" si="15"/>
        <v>1043112</v>
      </c>
      <c r="K25" s="924">
        <f t="shared" si="4"/>
        <v>1</v>
      </c>
      <c r="L25" s="281">
        <f aca="true" t="shared" si="16" ref="L25:Q25">SUM(L26:L28)</f>
        <v>1083712</v>
      </c>
      <c r="M25" s="281">
        <f t="shared" si="16"/>
        <v>1083712</v>
      </c>
      <c r="N25" s="281">
        <f t="shared" si="16"/>
        <v>1083712</v>
      </c>
      <c r="O25" s="281">
        <f t="shared" si="16"/>
        <v>1864426</v>
      </c>
      <c r="P25" s="281">
        <f t="shared" si="16"/>
        <v>1043112</v>
      </c>
      <c r="Q25" s="281">
        <f t="shared" si="16"/>
        <v>1043112</v>
      </c>
      <c r="R25" s="924">
        <f t="shared" si="5"/>
        <v>1</v>
      </c>
      <c r="S25" s="281">
        <v>0</v>
      </c>
      <c r="T25" s="281">
        <v>0</v>
      </c>
      <c r="U25" s="281">
        <v>0</v>
      </c>
      <c r="V25" s="281">
        <v>0</v>
      </c>
      <c r="W25" s="279"/>
      <c r="X25" s="279"/>
      <c r="Y25" s="924"/>
      <c r="Z25" s="281">
        <v>0</v>
      </c>
      <c r="AA25" s="281">
        <v>0</v>
      </c>
      <c r="AB25" s="281">
        <v>0</v>
      </c>
      <c r="AC25" s="281">
        <v>0</v>
      </c>
      <c r="AD25" s="281">
        <v>0</v>
      </c>
      <c r="AE25" s="281">
        <v>0</v>
      </c>
      <c r="AF25" s="924"/>
      <c r="AG25" s="731"/>
    </row>
    <row r="26" spans="1:33" ht="31.5" customHeight="1">
      <c r="A26" s="62"/>
      <c r="B26" s="58"/>
      <c r="C26" s="58" t="s">
        <v>458</v>
      </c>
      <c r="D26" s="184" t="s">
        <v>302</v>
      </c>
      <c r="E26" s="221">
        <f>'3.sz.m Önk  bev.'!E25+'5.2 sz. m ÁMK'!D12</f>
        <v>1083712</v>
      </c>
      <c r="F26" s="221">
        <f>'3.sz.m Önk  bev.'!F25+'5.2 sz. m ÁMK'!E12</f>
        <v>1083712</v>
      </c>
      <c r="G26" s="221">
        <f>'3.sz.m Önk  bev.'!G25+'5.2 sz. m ÁMK'!F12</f>
        <v>1083712</v>
      </c>
      <c r="H26" s="221">
        <f>'3.sz.m Önk  bev.'!H25+'5.2 sz. m ÁMK'!G12</f>
        <v>1083712</v>
      </c>
      <c r="I26" s="221">
        <f>'3.sz.m Önk  bev.'!I25+'5.2 sz. m ÁMK'!H12</f>
        <v>457576</v>
      </c>
      <c r="J26" s="221">
        <f>'3.sz.m Önk  bev.'!J25+'5.2 sz. m ÁMK'!I12</f>
        <v>457576</v>
      </c>
      <c r="K26" s="924">
        <f t="shared" si="4"/>
        <v>1</v>
      </c>
      <c r="L26" s="281">
        <f>'3.sz.m Önk  bev.'!L25</f>
        <v>1083712</v>
      </c>
      <c r="M26" s="281">
        <f>'3.sz.m Önk  bev.'!M25</f>
        <v>1083712</v>
      </c>
      <c r="N26" s="281">
        <f>'3.sz.m Önk  bev.'!N25</f>
        <v>1083712</v>
      </c>
      <c r="O26" s="281">
        <f>'3.sz.m Önk  bev.'!O25</f>
        <v>1083712</v>
      </c>
      <c r="P26" s="281">
        <f>'3.sz.m Önk  bev.'!P25</f>
        <v>457576</v>
      </c>
      <c r="Q26" s="281">
        <f>'3.sz.m Önk  bev.'!Q25</f>
        <v>457576</v>
      </c>
      <c r="R26" s="924">
        <f t="shared" si="5"/>
        <v>1</v>
      </c>
      <c r="S26" s="281">
        <v>0</v>
      </c>
      <c r="T26" s="281">
        <v>0</v>
      </c>
      <c r="U26" s="281">
        <v>0</v>
      </c>
      <c r="V26" s="281">
        <v>0</v>
      </c>
      <c r="W26" s="279"/>
      <c r="X26" s="279"/>
      <c r="Y26" s="924"/>
      <c r="Z26" s="281">
        <v>0</v>
      </c>
      <c r="AA26" s="281">
        <v>0</v>
      </c>
      <c r="AB26" s="281">
        <v>0</v>
      </c>
      <c r="AC26" s="281">
        <v>0</v>
      </c>
      <c r="AD26" s="281">
        <v>0</v>
      </c>
      <c r="AE26" s="281">
        <v>0</v>
      </c>
      <c r="AF26" s="924"/>
      <c r="AG26" s="731"/>
    </row>
    <row r="27" spans="1:33" ht="41.25" customHeight="1">
      <c r="A27" s="62"/>
      <c r="B27" s="58"/>
      <c r="C27" s="58" t="s">
        <v>459</v>
      </c>
      <c r="D27" s="184" t="s">
        <v>303</v>
      </c>
      <c r="E27" s="221">
        <f>'3.sz.m Önk  bev.'!E26</f>
        <v>0</v>
      </c>
      <c r="F27" s="221">
        <f>'3.sz.m Önk  bev.'!F26</f>
        <v>0</v>
      </c>
      <c r="G27" s="221">
        <f>'3.sz.m Önk  bev.'!G26</f>
        <v>0</v>
      </c>
      <c r="H27" s="221">
        <f>'3.sz.m Önk  bev.'!H26</f>
        <v>780714</v>
      </c>
      <c r="I27" s="221">
        <f>'3.sz.m Önk  bev.'!I26</f>
        <v>585536</v>
      </c>
      <c r="J27" s="221">
        <f>'3.sz.m Önk  bev.'!J26</f>
        <v>585536</v>
      </c>
      <c r="K27" s="924">
        <f t="shared" si="4"/>
        <v>1</v>
      </c>
      <c r="L27" s="281">
        <f>'3.sz.m Önk  bev.'!L26</f>
        <v>0</v>
      </c>
      <c r="M27" s="281">
        <f>'3.sz.m Önk  bev.'!M26</f>
        <v>0</v>
      </c>
      <c r="N27" s="281">
        <f>'3.sz.m Önk  bev.'!N26</f>
        <v>0</v>
      </c>
      <c r="O27" s="281">
        <f>'3.sz.m Önk  bev.'!O26</f>
        <v>780714</v>
      </c>
      <c r="P27" s="281">
        <f>'3.sz.m Önk  bev.'!P26</f>
        <v>585536</v>
      </c>
      <c r="Q27" s="281">
        <f>'3.sz.m Önk  bev.'!Q26</f>
        <v>585536</v>
      </c>
      <c r="R27" s="924">
        <f t="shared" si="5"/>
        <v>1</v>
      </c>
      <c r="S27" s="281">
        <v>0</v>
      </c>
      <c r="T27" s="281">
        <v>0</v>
      </c>
      <c r="U27" s="281">
        <v>0</v>
      </c>
      <c r="V27" s="281">
        <v>0</v>
      </c>
      <c r="W27" s="279"/>
      <c r="X27" s="279"/>
      <c r="Y27" s="924"/>
      <c r="Z27" s="281">
        <v>0</v>
      </c>
      <c r="AA27" s="281">
        <v>0</v>
      </c>
      <c r="AB27" s="281">
        <v>0</v>
      </c>
      <c r="AC27" s="281">
        <v>0</v>
      </c>
      <c r="AD27" s="281">
        <v>0</v>
      </c>
      <c r="AE27" s="281">
        <v>0</v>
      </c>
      <c r="AF27" s="924"/>
      <c r="AG27" s="731"/>
    </row>
    <row r="28" spans="1:33" ht="21.75" customHeight="1">
      <c r="A28" s="62"/>
      <c r="B28" s="58"/>
      <c r="C28" s="58" t="s">
        <v>460</v>
      </c>
      <c r="D28" s="184" t="s">
        <v>470</v>
      </c>
      <c r="E28" s="221">
        <f>'3.sz.m Önk  bev.'!E27</f>
        <v>0</v>
      </c>
      <c r="F28" s="221">
        <f>'3.sz.m Önk  bev.'!F27</f>
        <v>0</v>
      </c>
      <c r="G28" s="221">
        <f>'3.sz.m Önk  bev.'!G27</f>
        <v>0</v>
      </c>
      <c r="H28" s="221">
        <f>'3.sz.m Önk  bev.'!H27</f>
        <v>0</v>
      </c>
      <c r="I28" s="221">
        <f>'3.sz.m Önk  bev.'!I27</f>
        <v>0</v>
      </c>
      <c r="J28" s="221">
        <f>'3.sz.m Önk  bev.'!J27</f>
        <v>0</v>
      </c>
      <c r="K28" s="924"/>
      <c r="L28" s="281">
        <f>'3.sz.m Önk  bev.'!L27</f>
        <v>0</v>
      </c>
      <c r="M28" s="281">
        <f>'3.sz.m Önk  bev.'!M27</f>
        <v>0</v>
      </c>
      <c r="N28" s="281">
        <f>'3.sz.m Önk  bev.'!N27</f>
        <v>0</v>
      </c>
      <c r="O28" s="281">
        <f>'3.sz.m Önk  bev.'!O27</f>
        <v>0</v>
      </c>
      <c r="P28" s="281">
        <f>'3.sz.m Önk  bev.'!P27</f>
        <v>0</v>
      </c>
      <c r="Q28" s="281">
        <f>'3.sz.m Önk  bev.'!Q27</f>
        <v>0</v>
      </c>
      <c r="R28" s="924"/>
      <c r="S28" s="281">
        <v>0</v>
      </c>
      <c r="T28" s="281">
        <v>0</v>
      </c>
      <c r="U28" s="281">
        <v>0</v>
      </c>
      <c r="V28" s="281">
        <v>0</v>
      </c>
      <c r="W28" s="279"/>
      <c r="X28" s="279"/>
      <c r="Y28" s="924"/>
      <c r="Z28" s="281">
        <v>0</v>
      </c>
      <c r="AA28" s="281">
        <v>0</v>
      </c>
      <c r="AB28" s="281">
        <v>0</v>
      </c>
      <c r="AC28" s="281">
        <v>0</v>
      </c>
      <c r="AD28" s="281">
        <v>0</v>
      </c>
      <c r="AE28" s="281">
        <v>0</v>
      </c>
      <c r="AF28" s="924"/>
      <c r="AG28" s="731"/>
    </row>
    <row r="29" spans="1:33" ht="21.75" customHeight="1">
      <c r="A29" s="62"/>
      <c r="B29" s="58" t="s">
        <v>305</v>
      </c>
      <c r="C29" s="1517" t="s">
        <v>304</v>
      </c>
      <c r="D29" s="1517"/>
      <c r="E29" s="221">
        <f>'3.sz.m Önk  bev.'!E28+'5.2 sz. m ÁMK'!D14</f>
        <v>7416897</v>
      </c>
      <c r="F29" s="221">
        <f>'3.sz.m Önk  bev.'!F28+'5.2 sz. m ÁMK'!E14</f>
        <v>7416897</v>
      </c>
      <c r="G29" s="221">
        <f>'3.sz.m Önk  bev.'!G28+'5.2 sz. m ÁMK'!F14</f>
        <v>7416897</v>
      </c>
      <c r="H29" s="221">
        <f>'3.sz.m Önk  bev.'!H28+'5.2 sz. m ÁMK'!G14</f>
        <v>7627690</v>
      </c>
      <c r="I29" s="221">
        <f>'3.sz.m Önk  bev.'!I28+'5.2 sz. m ÁMK'!H14</f>
        <v>8482990</v>
      </c>
      <c r="J29" s="221">
        <f>'3.sz.m Önk  bev.'!J28+'5.2 sz. m ÁMK'!I14</f>
        <v>8466940</v>
      </c>
      <c r="K29" s="924">
        <f t="shared" si="4"/>
        <v>0.9981079784368483</v>
      </c>
      <c r="L29" s="279">
        <f aca="true" t="shared" si="17" ref="L29:Q29">+E29-S29</f>
        <v>7416897</v>
      </c>
      <c r="M29" s="279">
        <f t="shared" si="17"/>
        <v>7416897</v>
      </c>
      <c r="N29" s="279">
        <f t="shared" si="17"/>
        <v>7416897</v>
      </c>
      <c r="O29" s="279">
        <f t="shared" si="17"/>
        <v>7627690</v>
      </c>
      <c r="P29" s="279">
        <f t="shared" si="17"/>
        <v>8440978</v>
      </c>
      <c r="Q29" s="279">
        <f t="shared" si="17"/>
        <v>8424928</v>
      </c>
      <c r="R29" s="924">
        <f t="shared" si="5"/>
        <v>0.9980985615647855</v>
      </c>
      <c r="S29" s="281">
        <v>0</v>
      </c>
      <c r="T29" s="281">
        <v>0</v>
      </c>
      <c r="U29" s="281">
        <v>0</v>
      </c>
      <c r="V29" s="281">
        <v>0</v>
      </c>
      <c r="W29" s="279">
        <f>+'3.sz.m Önk  bev.'!W28</f>
        <v>42012</v>
      </c>
      <c r="X29" s="279">
        <f>+'3.sz.m Önk  bev.'!X28</f>
        <v>42012</v>
      </c>
      <c r="Y29" s="924">
        <f>+X29/W29</f>
        <v>1</v>
      </c>
      <c r="Z29" s="281">
        <v>0</v>
      </c>
      <c r="AA29" s="281">
        <v>0</v>
      </c>
      <c r="AB29" s="281">
        <v>0</v>
      </c>
      <c r="AC29" s="281">
        <v>0</v>
      </c>
      <c r="AD29" s="281">
        <v>0</v>
      </c>
      <c r="AE29" s="281">
        <v>0</v>
      </c>
      <c r="AF29" s="924"/>
      <c r="AG29" s="731"/>
    </row>
    <row r="30" spans="1:33" ht="21.75" customHeight="1">
      <c r="A30" s="66"/>
      <c r="B30" s="67" t="s">
        <v>306</v>
      </c>
      <c r="C30" s="1517" t="s">
        <v>503</v>
      </c>
      <c r="D30" s="1520"/>
      <c r="E30" s="221">
        <f>'3.sz.m Önk  bev.'!E29</f>
        <v>0</v>
      </c>
      <c r="F30" s="221">
        <f>'3.sz.m Önk  bev.'!F29</f>
        <v>0</v>
      </c>
      <c r="G30" s="221">
        <f>'3.sz.m Önk  bev.'!G29</f>
        <v>0</v>
      </c>
      <c r="H30" s="221">
        <f>'3.sz.m Önk  bev.'!H29</f>
        <v>14788223</v>
      </c>
      <c r="I30" s="221"/>
      <c r="J30" s="221"/>
      <c r="K30" s="924"/>
      <c r="L30" s="281">
        <f>'3.sz.m Önk  bev.'!L29</f>
        <v>0</v>
      </c>
      <c r="M30" s="281">
        <f>'3.sz.m Önk  bev.'!M29</f>
        <v>0</v>
      </c>
      <c r="N30" s="281">
        <f>'3.sz.m Önk  bev.'!N29</f>
        <v>0</v>
      </c>
      <c r="O30" s="281">
        <f>'3.sz.m Önk  bev.'!O29</f>
        <v>14788223</v>
      </c>
      <c r="P30" s="281">
        <f>'3.sz.m Önk  bev.'!P29</f>
        <v>14788223</v>
      </c>
      <c r="Q30" s="281">
        <f>'3.sz.m Önk  bev.'!Q29</f>
        <v>14788223</v>
      </c>
      <c r="R30" s="924"/>
      <c r="S30" s="281">
        <v>0</v>
      </c>
      <c r="T30" s="281">
        <v>0</v>
      </c>
      <c r="U30" s="281">
        <v>0</v>
      </c>
      <c r="V30" s="281">
        <v>0</v>
      </c>
      <c r="W30" s="279">
        <f>+'3.sz.m Önk  bev.'!W30</f>
        <v>0</v>
      </c>
      <c r="X30" s="279">
        <f>+'3.sz.m Önk  bev.'!X30</f>
        <v>0</v>
      </c>
      <c r="Y30" s="924"/>
      <c r="Z30" s="281">
        <v>0</v>
      </c>
      <c r="AA30" s="281">
        <v>0</v>
      </c>
      <c r="AB30" s="281">
        <v>0</v>
      </c>
      <c r="AC30" s="281">
        <v>0</v>
      </c>
      <c r="AD30" s="281">
        <v>0</v>
      </c>
      <c r="AE30" s="281">
        <v>0</v>
      </c>
      <c r="AF30" s="924"/>
      <c r="AG30" s="731"/>
    </row>
    <row r="31" spans="1:33" ht="21.75" customHeight="1">
      <c r="A31" s="66"/>
      <c r="B31" s="67" t="s">
        <v>306</v>
      </c>
      <c r="C31" s="1517" t="s">
        <v>307</v>
      </c>
      <c r="D31" s="1520"/>
      <c r="E31" s="221">
        <f>'3.sz.m Önk  bev.'!E30+'5.1 sz. m Köz Hiv'!D12+'5.2 sz. m ÁMK'!D15</f>
        <v>100100</v>
      </c>
      <c r="F31" s="221">
        <f>'3.sz.m Önk  bev.'!F30+'5.1 sz. m Köz Hiv'!E12+'5.2 sz. m ÁMK'!E15</f>
        <v>100120</v>
      </c>
      <c r="G31" s="221">
        <f>'3.sz.m Önk  bev.'!G30+'5.1 sz. m Köz Hiv'!F12+'5.2 sz. m ÁMK'!F15</f>
        <v>100120</v>
      </c>
      <c r="H31" s="221">
        <f>'3.sz.m Önk  bev.'!H30+'5.1 sz. m Köz Hiv'!G12+'5.2 sz. m ÁMK'!G15</f>
        <v>100120</v>
      </c>
      <c r="I31" s="221">
        <f>'3.sz.m Önk  bev.'!I30+'5.1 sz. m Köz Hiv'!H12+'5.2 sz. m ÁMK'!H15</f>
        <v>34397</v>
      </c>
      <c r="J31" s="221">
        <f>'3.sz.m Önk  bev.'!J30+'5.1 sz. m Köz Hiv'!I12+'5.2 sz. m ÁMK'!I15</f>
        <v>34313</v>
      </c>
      <c r="K31" s="924">
        <f t="shared" si="4"/>
        <v>0.9975579265633631</v>
      </c>
      <c r="L31" s="279">
        <f aca="true" t="shared" si="18" ref="L31:Q32">+E31-S31</f>
        <v>100100</v>
      </c>
      <c r="M31" s="279">
        <f t="shared" si="18"/>
        <v>100120</v>
      </c>
      <c r="N31" s="279">
        <f t="shared" si="18"/>
        <v>100120</v>
      </c>
      <c r="O31" s="279">
        <f t="shared" si="18"/>
        <v>100120</v>
      </c>
      <c r="P31" s="279">
        <f t="shared" si="18"/>
        <v>34397</v>
      </c>
      <c r="Q31" s="279">
        <f t="shared" si="18"/>
        <v>34313</v>
      </c>
      <c r="R31" s="924">
        <f t="shared" si="5"/>
        <v>0.9975579265633631</v>
      </c>
      <c r="S31" s="281">
        <v>0</v>
      </c>
      <c r="T31" s="281">
        <v>0</v>
      </c>
      <c r="U31" s="281">
        <v>0</v>
      </c>
      <c r="V31" s="281">
        <v>0</v>
      </c>
      <c r="W31" s="279">
        <f>+'3.sz.m Önk  bev.'!W31</f>
        <v>0</v>
      </c>
      <c r="X31" s="279">
        <f>+'3.sz.m Önk  bev.'!X31</f>
        <v>0</v>
      </c>
      <c r="Y31" s="924"/>
      <c r="Z31" s="281">
        <v>0</v>
      </c>
      <c r="AA31" s="281">
        <v>0</v>
      </c>
      <c r="AB31" s="281">
        <v>0</v>
      </c>
      <c r="AC31" s="281">
        <v>0</v>
      </c>
      <c r="AD31" s="281">
        <v>0</v>
      </c>
      <c r="AE31" s="281">
        <v>0</v>
      </c>
      <c r="AF31" s="924"/>
      <c r="AG31" s="731"/>
    </row>
    <row r="32" spans="1:33" ht="21.75" customHeight="1" thickBot="1">
      <c r="A32" s="66"/>
      <c r="B32" s="67" t="s">
        <v>461</v>
      </c>
      <c r="C32" s="1530" t="s">
        <v>69</v>
      </c>
      <c r="D32" s="1530"/>
      <c r="E32" s="221">
        <f>'3.sz.m Önk  bev.'!E31+'5.1 sz. m Köz Hiv'!D13+'5.2 sz. m ÁMK'!D16</f>
        <v>22267362</v>
      </c>
      <c r="F32" s="221">
        <f>'3.sz.m Önk  bev.'!F31+'5.1 sz. m Köz Hiv'!E13+'5.2 sz. m ÁMK'!E16</f>
        <v>16403108</v>
      </c>
      <c r="G32" s="221">
        <f>'3.sz.m Önk  bev.'!G31+'5.1 sz. m Köz Hiv'!F13+'5.2 sz. m ÁMK'!F16</f>
        <v>13203379</v>
      </c>
      <c r="H32" s="221">
        <f>'3.sz.m Önk  bev.'!H31+'5.1 sz. m Köz Hiv'!G13+'5.2 sz. m ÁMK'!G16</f>
        <v>10243228</v>
      </c>
      <c r="I32" s="221">
        <f>'3.sz.m Önk  bev.'!I31+'5.1 sz. m Köz Hiv'!H13+'5.2 sz. m ÁMK'!H16</f>
        <v>2021113</v>
      </c>
      <c r="J32" s="221">
        <f>'3.sz.m Önk  bev.'!J31+'5.1 sz. m Köz Hiv'!I13+'5.2 sz. m ÁMK'!I16</f>
        <v>2021113</v>
      </c>
      <c r="K32" s="924">
        <f t="shared" si="4"/>
        <v>1</v>
      </c>
      <c r="L32" s="279">
        <f t="shared" si="18"/>
        <v>22267362</v>
      </c>
      <c r="M32" s="279">
        <f t="shared" si="18"/>
        <v>16403108</v>
      </c>
      <c r="N32" s="279">
        <f t="shared" si="18"/>
        <v>13203379</v>
      </c>
      <c r="O32" s="279">
        <f t="shared" si="18"/>
        <v>10243228</v>
      </c>
      <c r="P32" s="279">
        <f t="shared" si="18"/>
        <v>2021113</v>
      </c>
      <c r="Q32" s="279">
        <f t="shared" si="18"/>
        <v>2021113</v>
      </c>
      <c r="R32" s="924">
        <f t="shared" si="5"/>
        <v>1</v>
      </c>
      <c r="S32" s="281">
        <v>0</v>
      </c>
      <c r="T32" s="281">
        <v>0</v>
      </c>
      <c r="U32" s="281">
        <v>0</v>
      </c>
      <c r="V32" s="281">
        <v>0</v>
      </c>
      <c r="W32" s="279"/>
      <c r="X32" s="279"/>
      <c r="Y32" s="924"/>
      <c r="Z32" s="281">
        <v>0</v>
      </c>
      <c r="AA32" s="281">
        <v>0</v>
      </c>
      <c r="AB32" s="281">
        <v>0</v>
      </c>
      <c r="AC32" s="281">
        <v>0</v>
      </c>
      <c r="AD32" s="281">
        <v>0</v>
      </c>
      <c r="AE32" s="281">
        <v>0</v>
      </c>
      <c r="AF32" s="924"/>
      <c r="AG32" s="731"/>
    </row>
    <row r="33" spans="1:33" ht="21.75" customHeight="1" hidden="1" thickBot="1">
      <c r="A33" s="66"/>
      <c r="B33" s="67" t="s">
        <v>504</v>
      </c>
      <c r="C33" s="1517" t="s">
        <v>503</v>
      </c>
      <c r="D33" s="1520"/>
      <c r="E33" s="221"/>
      <c r="F33" s="221"/>
      <c r="G33" s="221"/>
      <c r="H33" s="221"/>
      <c r="I33" s="221">
        <f>'3.sz.m Önk  bev.'!I29</f>
        <v>14788223</v>
      </c>
      <c r="J33" s="221">
        <f>'3.sz.m Önk  bev.'!J29</f>
        <v>14788223</v>
      </c>
      <c r="K33" s="924">
        <f t="shared" si="4"/>
        <v>1</v>
      </c>
      <c r="L33" s="281"/>
      <c r="M33" s="281"/>
      <c r="N33" s="281"/>
      <c r="O33" s="281"/>
      <c r="P33" s="281"/>
      <c r="Q33" s="281"/>
      <c r="R33" s="924" t="e">
        <f t="shared" si="5"/>
        <v>#DIV/0!</v>
      </c>
      <c r="S33" s="281"/>
      <c r="T33" s="281"/>
      <c r="U33" s="281"/>
      <c r="V33" s="281"/>
      <c r="W33" s="281"/>
      <c r="X33" s="281"/>
      <c r="Y33" s="924" t="e">
        <f>+X33/W33</f>
        <v>#DIV/0!</v>
      </c>
      <c r="Z33" s="281"/>
      <c r="AA33" s="281"/>
      <c r="AB33" s="281"/>
      <c r="AC33" s="281"/>
      <c r="AD33" s="281"/>
      <c r="AE33" s="281"/>
      <c r="AF33" s="924"/>
      <c r="AG33" s="731"/>
    </row>
    <row r="34" spans="1:33" ht="42.75" customHeight="1" thickBot="1">
      <c r="A34" s="69" t="s">
        <v>9</v>
      </c>
      <c r="B34" s="1525" t="s">
        <v>308</v>
      </c>
      <c r="C34" s="1525"/>
      <c r="D34" s="1525"/>
      <c r="E34" s="273">
        <f aca="true" t="shared" si="19" ref="E34:L34">SUM(E35:E39)</f>
        <v>340241503</v>
      </c>
      <c r="F34" s="72">
        <f t="shared" si="19"/>
        <v>346150839</v>
      </c>
      <c r="G34" s="72">
        <f t="shared" si="19"/>
        <v>352570336</v>
      </c>
      <c r="H34" s="72">
        <f>SUM(H35:H39)</f>
        <v>369807385</v>
      </c>
      <c r="I34" s="72">
        <f t="shared" si="19"/>
        <v>389603362</v>
      </c>
      <c r="J34" s="72">
        <f t="shared" si="19"/>
        <v>378391175</v>
      </c>
      <c r="K34" s="925">
        <f t="shared" si="4"/>
        <v>0.9712215342741318</v>
      </c>
      <c r="L34" s="273">
        <f t="shared" si="19"/>
        <v>291196675</v>
      </c>
      <c r="M34" s="273">
        <f>SUM(M35:M39)</f>
        <v>297106011</v>
      </c>
      <c r="N34" s="273">
        <f>SUM(N35:N39)</f>
        <v>303525508</v>
      </c>
      <c r="O34" s="273">
        <f>SUM(O35:O39)</f>
        <v>320762557</v>
      </c>
      <c r="P34" s="273">
        <f>SUM(P35:P39)</f>
        <v>340558534</v>
      </c>
      <c r="Q34" s="273">
        <f>SUM(Q35:Q39)</f>
        <v>334138334</v>
      </c>
      <c r="R34" s="925">
        <f t="shared" si="5"/>
        <v>0.9811480278453395</v>
      </c>
      <c r="S34" s="273">
        <f aca="true" t="shared" si="20" ref="S34:X34">SUM(S35:S39)</f>
        <v>49044828</v>
      </c>
      <c r="T34" s="273">
        <f t="shared" si="20"/>
        <v>49044828</v>
      </c>
      <c r="U34" s="273">
        <f t="shared" si="20"/>
        <v>49044828</v>
      </c>
      <c r="V34" s="273">
        <f t="shared" si="20"/>
        <v>49044828</v>
      </c>
      <c r="W34" s="273">
        <f t="shared" si="20"/>
        <v>49044828</v>
      </c>
      <c r="X34" s="273">
        <f t="shared" si="20"/>
        <v>44252841</v>
      </c>
      <c r="Y34" s="925">
        <f>+X34/W34</f>
        <v>0.9022937342139318</v>
      </c>
      <c r="Z34" s="273">
        <v>0</v>
      </c>
      <c r="AA34" s="273">
        <v>0</v>
      </c>
      <c r="AB34" s="273">
        <v>0</v>
      </c>
      <c r="AC34" s="273">
        <v>0</v>
      </c>
      <c r="AD34" s="273">
        <v>0</v>
      </c>
      <c r="AE34" s="273">
        <v>0</v>
      </c>
      <c r="AF34" s="925"/>
      <c r="AG34" s="731"/>
    </row>
    <row r="35" spans="1:33" ht="21.75" customHeight="1">
      <c r="A35" s="63"/>
      <c r="B35" s="67" t="s">
        <v>41</v>
      </c>
      <c r="C35" s="1518" t="s">
        <v>309</v>
      </c>
      <c r="D35" s="1519"/>
      <c r="E35" s="281">
        <f>'3.sz.m Önk  bev.'!E33</f>
        <v>274627404</v>
      </c>
      <c r="F35" s="221">
        <f>'3.sz.m Önk  bev.'!F33</f>
        <v>280536740</v>
      </c>
      <c r="G35" s="221">
        <f>'3.sz.m Önk  bev.'!G33</f>
        <v>283973825</v>
      </c>
      <c r="H35" s="221">
        <f>'3.sz.m Önk  bev.'!H33</f>
        <v>295428718</v>
      </c>
      <c r="I35" s="221">
        <f>'3.sz.m Önk  bev.'!I33</f>
        <v>302770260</v>
      </c>
      <c r="J35" s="221">
        <f>'3.sz.m Önk  bev.'!J33</f>
        <v>302770260</v>
      </c>
      <c r="K35" s="924">
        <f t="shared" si="4"/>
        <v>1</v>
      </c>
      <c r="L35" s="281">
        <f>'3.sz.m Önk  bev.'!L33</f>
        <v>274627404</v>
      </c>
      <c r="M35" s="281">
        <f>'3.sz.m Önk  bev.'!M33</f>
        <v>280536740</v>
      </c>
      <c r="N35" s="281">
        <f>'3.sz.m Önk  bev.'!N33</f>
        <v>283973825</v>
      </c>
      <c r="O35" s="281">
        <f>'3.sz.m Önk  bev.'!O33</f>
        <v>295428718</v>
      </c>
      <c r="P35" s="281">
        <f>'3.sz.m Önk  bev.'!P33</f>
        <v>302770260</v>
      </c>
      <c r="Q35" s="281">
        <f>'3.sz.m Önk  bev.'!Q33</f>
        <v>302770260</v>
      </c>
      <c r="R35" s="924">
        <f t="shared" si="5"/>
        <v>1</v>
      </c>
      <c r="S35" s="280">
        <f>'3.sz.m Önk  bev.'!S35</f>
        <v>0</v>
      </c>
      <c r="T35" s="280">
        <f>'3.sz.m Önk  bev.'!T35</f>
        <v>0</v>
      </c>
      <c r="U35" s="280">
        <f>'3.sz.m Önk  bev.'!U35</f>
        <v>0</v>
      </c>
      <c r="V35" s="280">
        <f>'3.sz.m Önk  bev.'!V35</f>
        <v>0</v>
      </c>
      <c r="W35" s="280">
        <f>'3.sz.m Önk  bev.'!W35</f>
        <v>0</v>
      </c>
      <c r="X35" s="280">
        <f>'3.sz.m Önk  bev.'!X35</f>
        <v>0</v>
      </c>
      <c r="Y35" s="924"/>
      <c r="Z35" s="281">
        <v>0</v>
      </c>
      <c r="AA35" s="281">
        <v>0</v>
      </c>
      <c r="AB35" s="281">
        <v>0</v>
      </c>
      <c r="AC35" s="281">
        <v>0</v>
      </c>
      <c r="AD35" s="281">
        <v>0</v>
      </c>
      <c r="AE35" s="281">
        <v>0</v>
      </c>
      <c r="AF35" s="924"/>
      <c r="AG35" s="731"/>
    </row>
    <row r="36" spans="1:33" ht="21.75" customHeight="1">
      <c r="A36" s="62"/>
      <c r="B36" s="67" t="s">
        <v>42</v>
      </c>
      <c r="C36" s="1517" t="s">
        <v>466</v>
      </c>
      <c r="D36" s="1520"/>
      <c r="E36" s="281">
        <f>'3.sz.m Önk  bev.'!E34</f>
        <v>0</v>
      </c>
      <c r="F36" s="221">
        <f>'3.sz.m Önk  bev.'!F34</f>
        <v>0</v>
      </c>
      <c r="G36" s="221">
        <f>'3.sz.m Önk  bev.'!G34</f>
        <v>0</v>
      </c>
      <c r="H36" s="221">
        <f>'3.sz.m Önk  bev.'!H34</f>
        <v>1943100</v>
      </c>
      <c r="I36" s="221">
        <f>'3.sz.m Önk  bev.'!I34</f>
        <v>1943100</v>
      </c>
      <c r="J36" s="221">
        <f>'3.sz.m Önk  bev.'!J34</f>
        <v>1943100</v>
      </c>
      <c r="K36" s="924">
        <f t="shared" si="4"/>
        <v>1</v>
      </c>
      <c r="L36" s="281">
        <f>'3.sz.m Önk  bev.'!L34</f>
        <v>0</v>
      </c>
      <c r="M36" s="281">
        <f>'3.sz.m Önk  bev.'!M34</f>
        <v>0</v>
      </c>
      <c r="N36" s="281">
        <f>'3.sz.m Önk  bev.'!N34</f>
        <v>0</v>
      </c>
      <c r="O36" s="281">
        <f>'3.sz.m Önk  bev.'!O34</f>
        <v>1943100</v>
      </c>
      <c r="P36" s="281">
        <f>'3.sz.m Önk  bev.'!P34</f>
        <v>1943100</v>
      </c>
      <c r="Q36" s="281">
        <f>'3.sz.m Önk  bev.'!Q34</f>
        <v>1943100</v>
      </c>
      <c r="R36" s="924">
        <f t="shared" si="5"/>
        <v>1</v>
      </c>
      <c r="S36" s="281">
        <v>0</v>
      </c>
      <c r="T36" s="281">
        <v>0</v>
      </c>
      <c r="U36" s="281">
        <v>0</v>
      </c>
      <c r="V36" s="281">
        <v>0</v>
      </c>
      <c r="W36" s="281">
        <v>0</v>
      </c>
      <c r="X36" s="281">
        <v>0</v>
      </c>
      <c r="Y36" s="924"/>
      <c r="Z36" s="281">
        <v>0</v>
      </c>
      <c r="AA36" s="281">
        <v>0</v>
      </c>
      <c r="AB36" s="281">
        <v>0</v>
      </c>
      <c r="AC36" s="281">
        <v>0</v>
      </c>
      <c r="AD36" s="281">
        <v>0</v>
      </c>
      <c r="AE36" s="281">
        <v>0</v>
      </c>
      <c r="AF36" s="924"/>
      <c r="AG36" s="731"/>
    </row>
    <row r="37" spans="1:33" ht="21.75" customHeight="1">
      <c r="A37" s="62"/>
      <c r="B37" s="67" t="s">
        <v>66</v>
      </c>
      <c r="C37" s="1517" t="s">
        <v>585</v>
      </c>
      <c r="D37" s="1517"/>
      <c r="E37" s="281">
        <f>'3.sz.m Önk  bev.'!E35</f>
        <v>0</v>
      </c>
      <c r="F37" s="221">
        <f>'3.sz.m Önk  bev.'!F35</f>
        <v>0</v>
      </c>
      <c r="G37" s="221">
        <f>'3.sz.m Önk  bev.'!G35</f>
        <v>0</v>
      </c>
      <c r="H37" s="221">
        <f>'3.sz.m Önk  bev.'!H35</f>
        <v>0</v>
      </c>
      <c r="I37" s="221">
        <f>'3.sz.m Önk  bev.'!I35</f>
        <v>0</v>
      </c>
      <c r="J37" s="221">
        <f>'3.sz.m Önk  bev.'!J35</f>
        <v>0</v>
      </c>
      <c r="K37" s="924"/>
      <c r="L37" s="281">
        <f>'3.sz.m Önk  bev.'!L35</f>
        <v>0</v>
      </c>
      <c r="M37" s="281">
        <f>'3.sz.m Önk  bev.'!M35</f>
        <v>0</v>
      </c>
      <c r="N37" s="281">
        <f>'3.sz.m Önk  bev.'!N35</f>
        <v>0</v>
      </c>
      <c r="O37" s="281">
        <f>'3.sz.m Önk  bev.'!O35</f>
        <v>0</v>
      </c>
      <c r="P37" s="281">
        <f>'3.sz.m Önk  bev.'!P35</f>
        <v>0</v>
      </c>
      <c r="Q37" s="281">
        <f>'3.sz.m Önk  bev.'!Q35</f>
        <v>0</v>
      </c>
      <c r="R37" s="924"/>
      <c r="S37" s="281">
        <v>0</v>
      </c>
      <c r="T37" s="281">
        <v>0</v>
      </c>
      <c r="U37" s="281">
        <v>0</v>
      </c>
      <c r="V37" s="281">
        <v>0</v>
      </c>
      <c r="W37" s="281">
        <v>0</v>
      </c>
      <c r="X37" s="281">
        <v>0</v>
      </c>
      <c r="Y37" s="924"/>
      <c r="Z37" s="281">
        <v>0</v>
      </c>
      <c r="AA37" s="281">
        <v>0</v>
      </c>
      <c r="AB37" s="281">
        <v>0</v>
      </c>
      <c r="AC37" s="281">
        <v>0</v>
      </c>
      <c r="AD37" s="281">
        <v>0</v>
      </c>
      <c r="AE37" s="281">
        <v>0</v>
      </c>
      <c r="AF37" s="924"/>
      <c r="AG37" s="731"/>
    </row>
    <row r="38" spans="1:33" ht="21.75" customHeight="1">
      <c r="A38" s="62"/>
      <c r="B38" s="67" t="s">
        <v>67</v>
      </c>
      <c r="C38" s="1517" t="s">
        <v>349</v>
      </c>
      <c r="D38" s="1520"/>
      <c r="E38" s="281"/>
      <c r="F38" s="221"/>
      <c r="G38" s="221"/>
      <c r="H38" s="221"/>
      <c r="I38" s="221">
        <f>'3.sz.m Önk  bev.'!I36</f>
        <v>0</v>
      </c>
      <c r="J38" s="221">
        <f>'3.sz.m Önk  bev.'!J36</f>
        <v>0</v>
      </c>
      <c r="K38" s="924"/>
      <c r="L38" s="281"/>
      <c r="M38" s="281"/>
      <c r="N38" s="281"/>
      <c r="O38" s="281"/>
      <c r="P38" s="281"/>
      <c r="Q38" s="281"/>
      <c r="R38" s="924"/>
      <c r="S38" s="281">
        <v>0</v>
      </c>
      <c r="T38" s="281">
        <v>0</v>
      </c>
      <c r="U38" s="281">
        <v>0</v>
      </c>
      <c r="V38" s="281">
        <v>0</v>
      </c>
      <c r="W38" s="281">
        <v>0</v>
      </c>
      <c r="X38" s="281">
        <v>0</v>
      </c>
      <c r="Y38" s="924"/>
      <c r="Z38" s="281">
        <v>0</v>
      </c>
      <c r="AA38" s="281">
        <v>0</v>
      </c>
      <c r="AB38" s="281">
        <v>0</v>
      </c>
      <c r="AC38" s="281">
        <v>0</v>
      </c>
      <c r="AD38" s="281">
        <v>0</v>
      </c>
      <c r="AE38" s="281">
        <v>0</v>
      </c>
      <c r="AF38" s="924"/>
      <c r="AG38" s="731"/>
    </row>
    <row r="39" spans="1:33" ht="45.75" customHeight="1">
      <c r="A39" s="62"/>
      <c r="B39" s="67" t="s">
        <v>345</v>
      </c>
      <c r="C39" s="1517" t="s">
        <v>310</v>
      </c>
      <c r="D39" s="1520"/>
      <c r="E39" s="281">
        <f aca="true" t="shared" si="21" ref="E39:L39">SUM(E40:E42)</f>
        <v>65614099</v>
      </c>
      <c r="F39" s="221">
        <f t="shared" si="21"/>
        <v>65614099</v>
      </c>
      <c r="G39" s="221">
        <f t="shared" si="21"/>
        <v>68596511</v>
      </c>
      <c r="H39" s="221">
        <f>SUM(H40:H42)</f>
        <v>72435567</v>
      </c>
      <c r="I39" s="221">
        <f t="shared" si="21"/>
        <v>84890002</v>
      </c>
      <c r="J39" s="221">
        <f t="shared" si="21"/>
        <v>73677815</v>
      </c>
      <c r="K39" s="924">
        <f t="shared" si="4"/>
        <v>0.8679209949836024</v>
      </c>
      <c r="L39" s="281">
        <f t="shared" si="21"/>
        <v>16569271</v>
      </c>
      <c r="M39" s="281">
        <f>SUM(M40:M42)</f>
        <v>16569271</v>
      </c>
      <c r="N39" s="281">
        <f>SUM(N40:N42)</f>
        <v>19551683</v>
      </c>
      <c r="O39" s="281">
        <f>SUM(O40:O42)</f>
        <v>23390739</v>
      </c>
      <c r="P39" s="281">
        <f>SUM(P40:P42)</f>
        <v>35845174</v>
      </c>
      <c r="Q39" s="281">
        <f>SUM(Q40:Q42)</f>
        <v>29424974</v>
      </c>
      <c r="R39" s="924">
        <f t="shared" si="5"/>
        <v>0.8208908122471382</v>
      </c>
      <c r="S39" s="281">
        <f aca="true" t="shared" si="22" ref="S39:X39">SUM(S40:S42)</f>
        <v>49044828</v>
      </c>
      <c r="T39" s="281">
        <f t="shared" si="22"/>
        <v>49044828</v>
      </c>
      <c r="U39" s="281">
        <f t="shared" si="22"/>
        <v>49044828</v>
      </c>
      <c r="V39" s="281">
        <f t="shared" si="22"/>
        <v>49044828</v>
      </c>
      <c r="W39" s="281">
        <f t="shared" si="22"/>
        <v>49044828</v>
      </c>
      <c r="X39" s="281">
        <f t="shared" si="22"/>
        <v>44252841</v>
      </c>
      <c r="Y39" s="924">
        <f>+X39/W39</f>
        <v>0.9022937342139318</v>
      </c>
      <c r="Z39" s="281">
        <v>0</v>
      </c>
      <c r="AA39" s="281">
        <v>0</v>
      </c>
      <c r="AB39" s="281">
        <v>0</v>
      </c>
      <c r="AC39" s="281">
        <v>0</v>
      </c>
      <c r="AD39" s="281">
        <v>0</v>
      </c>
      <c r="AE39" s="281">
        <v>0</v>
      </c>
      <c r="AF39" s="924"/>
      <c r="AG39" s="731"/>
    </row>
    <row r="40" spans="1:33" ht="21.75" customHeight="1">
      <c r="A40" s="62"/>
      <c r="B40" s="67"/>
      <c r="C40" s="64" t="s">
        <v>346</v>
      </c>
      <c r="D40" s="462" t="s">
        <v>32</v>
      </c>
      <c r="E40" s="281">
        <f>'3.sz.m Önk  bev.'!E38</f>
        <v>8154000</v>
      </c>
      <c r="F40" s="221">
        <f>'3.sz.m Önk  bev.'!F38</f>
        <v>8154000</v>
      </c>
      <c r="G40" s="221">
        <f>'3.sz.m Önk  bev.'!G38</f>
        <v>8154000</v>
      </c>
      <c r="H40" s="221">
        <f>'3.sz.m Önk  bev.'!H38</f>
        <v>8154000</v>
      </c>
      <c r="I40" s="221">
        <f>'3.sz.m Önk  bev.'!I38</f>
        <v>10296700</v>
      </c>
      <c r="J40" s="221">
        <f>'3.sz.m Önk  bev.'!J38</f>
        <v>10296700</v>
      </c>
      <c r="K40" s="924">
        <f t="shared" si="4"/>
        <v>1</v>
      </c>
      <c r="L40" s="281">
        <f>'3.sz.m Önk  bev.'!L38</f>
        <v>8154000</v>
      </c>
      <c r="M40" s="281">
        <f>'3.sz.m Önk  bev.'!M38</f>
        <v>8154000</v>
      </c>
      <c r="N40" s="281">
        <f>'3.sz.m Önk  bev.'!N38</f>
        <v>8154000</v>
      </c>
      <c r="O40" s="281">
        <f>'3.sz.m Önk  bev.'!O38</f>
        <v>8154000</v>
      </c>
      <c r="P40" s="281">
        <f>'3.sz.m Önk  bev.'!P38</f>
        <v>10296700</v>
      </c>
      <c r="Q40" s="281">
        <f>'3.sz.m Önk  bev.'!Q38</f>
        <v>10296700</v>
      </c>
      <c r="R40" s="924">
        <f t="shared" si="5"/>
        <v>1</v>
      </c>
      <c r="S40" s="281">
        <v>0</v>
      </c>
      <c r="T40" s="281">
        <v>0</v>
      </c>
      <c r="U40" s="281">
        <v>0</v>
      </c>
      <c r="V40" s="281">
        <v>0</v>
      </c>
      <c r="W40" s="281">
        <v>0</v>
      </c>
      <c r="X40" s="281">
        <v>0</v>
      </c>
      <c r="Y40" s="924"/>
      <c r="Z40" s="281">
        <v>0</v>
      </c>
      <c r="AA40" s="281">
        <v>0</v>
      </c>
      <c r="AB40" s="281">
        <v>0</v>
      </c>
      <c r="AC40" s="281">
        <v>0</v>
      </c>
      <c r="AD40" s="281">
        <v>0</v>
      </c>
      <c r="AE40" s="281">
        <v>0</v>
      </c>
      <c r="AF40" s="924"/>
      <c r="AG40" s="731"/>
    </row>
    <row r="41" spans="1:33" ht="21.75" customHeight="1">
      <c r="A41" s="62"/>
      <c r="B41" s="67"/>
      <c r="C41" s="58" t="s">
        <v>347</v>
      </c>
      <c r="D41" s="184" t="s">
        <v>31</v>
      </c>
      <c r="E41" s="281">
        <f>'3.sz.m Önk  bev.'!E39+'5.2 sz. m ÁMK'!D20</f>
        <v>49044828</v>
      </c>
      <c r="F41" s="221">
        <f>'3.sz.m Önk  bev.'!F39+'5.2 sz. m ÁMK'!E20</f>
        <v>49044828</v>
      </c>
      <c r="G41" s="221">
        <f>'3.sz.m Önk  bev.'!G39+'5.2 sz. m ÁMK'!F20</f>
        <v>49044828</v>
      </c>
      <c r="H41" s="221">
        <f>'3.sz.m Önk  bev.'!H39+'5.2 sz. m ÁMK'!G20</f>
        <v>49044828</v>
      </c>
      <c r="I41" s="221">
        <f>'3.sz.m Önk  bev.'!I39+'5.2 sz. m ÁMK'!H20</f>
        <v>55920719</v>
      </c>
      <c r="J41" s="221">
        <f>'3.sz.m Önk  bev.'!J39+'5.2 sz. m ÁMK'!I20</f>
        <v>44930732</v>
      </c>
      <c r="K41" s="924">
        <f t="shared" si="4"/>
        <v>0.8034720011378966</v>
      </c>
      <c r="L41" s="281">
        <f>'3.sz.m Önk  bev.'!L39+'5.2 sz. m ÁMK'!L20</f>
        <v>0</v>
      </c>
      <c r="M41" s="281">
        <f>'3.sz.m Önk  bev.'!M39+'5.2 sz. m ÁMK'!M20</f>
        <v>0</v>
      </c>
      <c r="N41" s="281">
        <f>'3.sz.m Önk  bev.'!N39+'5.2 sz. m ÁMK'!N20</f>
        <v>0</v>
      </c>
      <c r="O41" s="281">
        <f>'3.sz.m Önk  bev.'!O39+'5.2 sz. m ÁMK'!O20</f>
        <v>0</v>
      </c>
      <c r="P41" s="281">
        <f>'3.sz.m Önk  bev.'!P39+'5.2 sz. m ÁMK'!P20</f>
        <v>6875891</v>
      </c>
      <c r="Q41" s="281">
        <f>'3.sz.m Önk  bev.'!Q39+'5.2 sz. m ÁMK'!Q20</f>
        <v>677891</v>
      </c>
      <c r="R41" s="924">
        <f t="shared" si="5"/>
        <v>0.09858955006703858</v>
      </c>
      <c r="S41" s="280">
        <f>+'3.sz.m Önk  bev.'!S39</f>
        <v>49044828</v>
      </c>
      <c r="T41" s="280">
        <f>+'3.sz.m Önk  bev.'!T39</f>
        <v>49044828</v>
      </c>
      <c r="U41" s="280">
        <f>+'3.sz.m Önk  bev.'!U39</f>
        <v>49044828</v>
      </c>
      <c r="V41" s="280">
        <f>+'3.sz.m Önk  bev.'!V39</f>
        <v>49044828</v>
      </c>
      <c r="W41" s="280">
        <f>+'3.sz.m Önk  bev.'!W39</f>
        <v>49044828</v>
      </c>
      <c r="X41" s="280">
        <f>+'3.sz.m Önk  bev.'!X39</f>
        <v>44252841</v>
      </c>
      <c r="Y41" s="924">
        <f>+X41/W41</f>
        <v>0.9022937342139318</v>
      </c>
      <c r="Z41" s="281">
        <v>0</v>
      </c>
      <c r="AA41" s="281">
        <v>0</v>
      </c>
      <c r="AB41" s="281">
        <v>0</v>
      </c>
      <c r="AC41" s="281">
        <v>0</v>
      </c>
      <c r="AD41" s="281">
        <v>0</v>
      </c>
      <c r="AE41" s="281">
        <v>0</v>
      </c>
      <c r="AF41" s="924"/>
      <c r="AG41" s="731"/>
    </row>
    <row r="42" spans="1:33" ht="21.75" customHeight="1" thickBot="1">
      <c r="A42" s="62"/>
      <c r="B42" s="67"/>
      <c r="C42" s="58" t="s">
        <v>348</v>
      </c>
      <c r="D42" s="184" t="s">
        <v>33</v>
      </c>
      <c r="E42" s="281">
        <f>'3.sz.m Önk  bev.'!E40+'5.1 sz. m Köz Hiv'!D16</f>
        <v>8415271</v>
      </c>
      <c r="F42" s="281">
        <f>'3.sz.m Önk  bev.'!F40+'5.1 sz. m Köz Hiv'!E16</f>
        <v>8415271</v>
      </c>
      <c r="G42" s="281">
        <f>'3.sz.m Önk  bev.'!G40+'5.1 sz. m Köz Hiv'!F16</f>
        <v>11397683</v>
      </c>
      <c r="H42" s="281">
        <f>'3.sz.m Önk  bev.'!H40+'5.1 sz. m Köz Hiv'!G16</f>
        <v>15236739</v>
      </c>
      <c r="I42" s="281">
        <f>'3.sz.m Önk  bev.'!I40+'5.1 sz. m Köz Hiv'!H16+'5.2 sz. m ÁMK'!H19</f>
        <v>18672583</v>
      </c>
      <c r="J42" s="281">
        <f>'3.sz.m Önk  bev.'!J40+'5.1 sz. m Köz Hiv'!I16+'5.2 sz. m ÁMK'!I19</f>
        <v>18450383</v>
      </c>
      <c r="K42" s="926">
        <f t="shared" si="4"/>
        <v>0.9881002001704853</v>
      </c>
      <c r="L42" s="281">
        <f>'3.sz.m Önk  bev.'!L40+'5.1 sz. m Köz Hiv'!L16</f>
        <v>8415271</v>
      </c>
      <c r="M42" s="281">
        <f>'3.sz.m Önk  bev.'!M40+'5.1 sz. m Köz Hiv'!M16</f>
        <v>8415271</v>
      </c>
      <c r="N42" s="281">
        <f>'3.sz.m Önk  bev.'!N40+'5.1 sz. m Köz Hiv'!N16</f>
        <v>11397683</v>
      </c>
      <c r="O42" s="281">
        <f>'3.sz.m Önk  bev.'!O40+'5.1 sz. m Köz Hiv'!O16</f>
        <v>15236739</v>
      </c>
      <c r="P42" s="281">
        <f>'3.sz.m Önk  bev.'!P40+'5.1 sz. m Köz Hiv'!P16</f>
        <v>18672583</v>
      </c>
      <c r="Q42" s="281">
        <f>'3.sz.m Önk  bev.'!Q40+'5.1 sz. m Köz Hiv'!Q16</f>
        <v>18450383</v>
      </c>
      <c r="R42" s="926">
        <f t="shared" si="5"/>
        <v>0.9881002001704853</v>
      </c>
      <c r="S42" s="281">
        <v>0</v>
      </c>
      <c r="T42" s="281">
        <v>0</v>
      </c>
      <c r="U42" s="281">
        <v>0</v>
      </c>
      <c r="V42" s="281">
        <v>0</v>
      </c>
      <c r="W42" s="281">
        <v>0</v>
      </c>
      <c r="X42" s="281">
        <v>0</v>
      </c>
      <c r="Y42" s="926"/>
      <c r="Z42" s="281">
        <v>0</v>
      </c>
      <c r="AA42" s="281">
        <v>0</v>
      </c>
      <c r="AB42" s="281">
        <v>0</v>
      </c>
      <c r="AC42" s="281">
        <v>0</v>
      </c>
      <c r="AD42" s="281">
        <v>0</v>
      </c>
      <c r="AE42" s="281">
        <v>0</v>
      </c>
      <c r="AF42" s="926"/>
      <c r="AG42" s="731"/>
    </row>
    <row r="43" spans="1:33" ht="33" customHeight="1" thickBot="1">
      <c r="A43" s="69" t="s">
        <v>10</v>
      </c>
      <c r="B43" s="1525" t="s">
        <v>311</v>
      </c>
      <c r="C43" s="1525"/>
      <c r="D43" s="1525"/>
      <c r="E43" s="273">
        <f>SUM(E44:E45)</f>
        <v>20360661</v>
      </c>
      <c r="F43" s="72">
        <f>SUM(F44:F45)+F49</f>
        <v>20360661</v>
      </c>
      <c r="G43" s="72">
        <f>SUM(G44:G45)+G49</f>
        <v>20360661</v>
      </c>
      <c r="H43" s="72">
        <f>SUM(H44:H45)+H49</f>
        <v>111544661</v>
      </c>
      <c r="I43" s="72">
        <f>SUM(I44:I45)+I49</f>
        <v>146373972</v>
      </c>
      <c r="J43" s="72">
        <f>SUM(J44:J45)+J49</f>
        <v>145299477</v>
      </c>
      <c r="K43" s="925">
        <f t="shared" si="4"/>
        <v>0.9926592481892887</v>
      </c>
      <c r="L43" s="273">
        <f aca="true" t="shared" si="23" ref="L43:Q43">SUM(L44:L45)</f>
        <v>20360661</v>
      </c>
      <c r="M43" s="273">
        <f t="shared" si="23"/>
        <v>20360661</v>
      </c>
      <c r="N43" s="273">
        <f t="shared" si="23"/>
        <v>20360661</v>
      </c>
      <c r="O43" s="273">
        <f t="shared" si="23"/>
        <v>111544661</v>
      </c>
      <c r="P43" s="273">
        <f t="shared" si="23"/>
        <v>146373972</v>
      </c>
      <c r="Q43" s="273">
        <f t="shared" si="23"/>
        <v>145299477</v>
      </c>
      <c r="R43" s="925">
        <f t="shared" si="5"/>
        <v>0.9926592481892887</v>
      </c>
      <c r="S43" s="273">
        <f aca="true" t="shared" si="24" ref="S43:X43">SUM(S44:S45)</f>
        <v>0</v>
      </c>
      <c r="T43" s="273">
        <f t="shared" si="24"/>
        <v>0</v>
      </c>
      <c r="U43" s="273">
        <f t="shared" si="24"/>
        <v>0</v>
      </c>
      <c r="V43" s="273">
        <f t="shared" si="24"/>
        <v>0</v>
      </c>
      <c r="W43" s="273">
        <f t="shared" si="24"/>
        <v>0</v>
      </c>
      <c r="X43" s="273">
        <f t="shared" si="24"/>
        <v>0</v>
      </c>
      <c r="Y43" s="925"/>
      <c r="Z43" s="273">
        <f aca="true" t="shared" si="25" ref="Z43:AE43">SUM(Z44:Z45)</f>
        <v>0</v>
      </c>
      <c r="AA43" s="273">
        <f t="shared" si="25"/>
        <v>0</v>
      </c>
      <c r="AB43" s="273">
        <f t="shared" si="25"/>
        <v>0</v>
      </c>
      <c r="AC43" s="273">
        <f t="shared" si="25"/>
        <v>0</v>
      </c>
      <c r="AD43" s="273">
        <f t="shared" si="25"/>
        <v>0</v>
      </c>
      <c r="AE43" s="273">
        <f t="shared" si="25"/>
        <v>0</v>
      </c>
      <c r="AF43" s="925"/>
      <c r="AG43" s="731"/>
    </row>
    <row r="44" spans="1:33" ht="21.75" customHeight="1">
      <c r="A44" s="63"/>
      <c r="B44" s="70" t="s">
        <v>312</v>
      </c>
      <c r="C44" s="1529" t="s">
        <v>314</v>
      </c>
      <c r="D44" s="1529"/>
      <c r="E44" s="281">
        <f>'3.sz.m Önk  bev.'!E42</f>
        <v>0</v>
      </c>
      <c r="F44" s="221">
        <f>'3.sz.m Önk  bev.'!F42</f>
        <v>0</v>
      </c>
      <c r="G44" s="221">
        <f>'3.sz.m Önk  bev.'!G42</f>
        <v>0</v>
      </c>
      <c r="H44" s="221">
        <f>'3.sz.m Önk  bev.'!H42</f>
        <v>0</v>
      </c>
      <c r="I44" s="221">
        <f>'3.sz.m Önk  bev.'!I42</f>
        <v>0</v>
      </c>
      <c r="J44" s="221">
        <f>'3.sz.m Önk  bev.'!J42</f>
        <v>0</v>
      </c>
      <c r="K44" s="924"/>
      <c r="L44" s="281">
        <f>'3.sz.m Önk  bev.'!L42</f>
        <v>0</v>
      </c>
      <c r="M44" s="281">
        <f>'3.sz.m Önk  bev.'!M42</f>
        <v>0</v>
      </c>
      <c r="N44" s="281">
        <f>'3.sz.m Önk  bev.'!N42</f>
        <v>0</v>
      </c>
      <c r="O44" s="281">
        <f>'3.sz.m Önk  bev.'!O42</f>
        <v>0</v>
      </c>
      <c r="P44" s="281">
        <f>'3.sz.m Önk  bev.'!P42</f>
        <v>0</v>
      </c>
      <c r="Q44" s="281">
        <f>'3.sz.m Önk  bev.'!Q42</f>
        <v>0</v>
      </c>
      <c r="R44" s="924"/>
      <c r="S44" s="281">
        <v>0</v>
      </c>
      <c r="T44" s="281">
        <v>0</v>
      </c>
      <c r="U44" s="281">
        <v>0</v>
      </c>
      <c r="V44" s="281">
        <v>0</v>
      </c>
      <c r="W44" s="281">
        <v>0</v>
      </c>
      <c r="X44" s="281">
        <v>0</v>
      </c>
      <c r="Y44" s="924"/>
      <c r="Z44" s="281">
        <v>0</v>
      </c>
      <c r="AA44" s="281">
        <v>0</v>
      </c>
      <c r="AB44" s="281">
        <v>0</v>
      </c>
      <c r="AC44" s="281">
        <v>0</v>
      </c>
      <c r="AD44" s="281">
        <v>0</v>
      </c>
      <c r="AE44" s="281">
        <v>0</v>
      </c>
      <c r="AF44" s="924"/>
      <c r="AG44" s="731"/>
    </row>
    <row r="45" spans="1:33" ht="21.75" customHeight="1">
      <c r="A45" s="62"/>
      <c r="B45" s="59" t="s">
        <v>313</v>
      </c>
      <c r="C45" s="1517" t="s">
        <v>315</v>
      </c>
      <c r="D45" s="1517"/>
      <c r="E45" s="281">
        <f aca="true" t="shared" si="26" ref="E45:L45">SUM(E46:E48)</f>
        <v>20360661</v>
      </c>
      <c r="F45" s="221">
        <f t="shared" si="26"/>
        <v>20360661</v>
      </c>
      <c r="G45" s="221">
        <f t="shared" si="26"/>
        <v>20360661</v>
      </c>
      <c r="H45" s="221">
        <f>SUM(H46:H48)</f>
        <v>111544661</v>
      </c>
      <c r="I45" s="221">
        <f t="shared" si="26"/>
        <v>146373972</v>
      </c>
      <c r="J45" s="221">
        <f t="shared" si="26"/>
        <v>145299477</v>
      </c>
      <c r="K45" s="924">
        <f t="shared" si="4"/>
        <v>0.9926592481892887</v>
      </c>
      <c r="L45" s="281">
        <f t="shared" si="26"/>
        <v>20360661</v>
      </c>
      <c r="M45" s="281">
        <f>SUM(M46:M48)</f>
        <v>20360661</v>
      </c>
      <c r="N45" s="281">
        <f>SUM(N46:N48)</f>
        <v>20360661</v>
      </c>
      <c r="O45" s="281">
        <f>SUM(O46:O48)</f>
        <v>111544661</v>
      </c>
      <c r="P45" s="281">
        <f>SUM(P46:P48)</f>
        <v>146373972</v>
      </c>
      <c r="Q45" s="281">
        <f>SUM(Q46:Q48)</f>
        <v>145299477</v>
      </c>
      <c r="R45" s="924">
        <f t="shared" si="5"/>
        <v>0.9926592481892887</v>
      </c>
      <c r="S45" s="281">
        <f>SUM(S46:S48)</f>
        <v>0</v>
      </c>
      <c r="T45" s="281">
        <f>SUM(T46:T48)</f>
        <v>0</v>
      </c>
      <c r="U45" s="281">
        <v>0</v>
      </c>
      <c r="V45" s="281">
        <v>0</v>
      </c>
      <c r="W45" s="281">
        <v>0</v>
      </c>
      <c r="X45" s="281">
        <v>0</v>
      </c>
      <c r="Y45" s="924"/>
      <c r="Z45" s="281">
        <v>0</v>
      </c>
      <c r="AA45" s="281">
        <v>0</v>
      </c>
      <c r="AB45" s="281">
        <v>0</v>
      </c>
      <c r="AC45" s="281">
        <v>0</v>
      </c>
      <c r="AD45" s="281">
        <v>0</v>
      </c>
      <c r="AE45" s="281">
        <v>0</v>
      </c>
      <c r="AF45" s="924"/>
      <c r="AG45" s="731"/>
    </row>
    <row r="46" spans="1:33" ht="21.75" customHeight="1">
      <c r="A46" s="62"/>
      <c r="B46" s="70"/>
      <c r="C46" s="64" t="s">
        <v>316</v>
      </c>
      <c r="D46" s="462" t="s">
        <v>32</v>
      </c>
      <c r="E46" s="281">
        <f>'3.sz.m Önk  bev.'!E44</f>
        <v>0</v>
      </c>
      <c r="F46" s="221">
        <f>'3.sz.m Önk  bev.'!F44</f>
        <v>0</v>
      </c>
      <c r="G46" s="221">
        <f>'3.sz.m Önk  bev.'!G44</f>
        <v>0</v>
      </c>
      <c r="H46" s="221">
        <f>'3.sz.m Önk  bev.'!H44</f>
        <v>0</v>
      </c>
      <c r="I46" s="221">
        <f>'3.sz.m Önk  bev.'!I44</f>
        <v>0</v>
      </c>
      <c r="J46" s="221">
        <f>'3.sz.m Önk  bev.'!J44</f>
        <v>0</v>
      </c>
      <c r="K46" s="924"/>
      <c r="L46" s="281">
        <f>'3.sz.m Önk  bev.'!L44</f>
        <v>0</v>
      </c>
      <c r="M46" s="281">
        <f>'3.sz.m Önk  bev.'!M44</f>
        <v>0</v>
      </c>
      <c r="N46" s="281">
        <f>'3.sz.m Önk  bev.'!N44</f>
        <v>0</v>
      </c>
      <c r="O46" s="281">
        <f>'3.sz.m Önk  bev.'!O44</f>
        <v>0</v>
      </c>
      <c r="P46" s="281">
        <f>'3.sz.m Önk  bev.'!P44</f>
        <v>0</v>
      </c>
      <c r="Q46" s="281">
        <f>'3.sz.m Önk  bev.'!Q44</f>
        <v>0</v>
      </c>
      <c r="R46" s="924"/>
      <c r="S46" s="281">
        <v>0</v>
      </c>
      <c r="T46" s="281">
        <v>0</v>
      </c>
      <c r="U46" s="281">
        <v>0</v>
      </c>
      <c r="V46" s="281">
        <v>0</v>
      </c>
      <c r="W46" s="281">
        <v>0</v>
      </c>
      <c r="X46" s="281">
        <v>0</v>
      </c>
      <c r="Y46" s="924"/>
      <c r="Z46" s="281">
        <v>0</v>
      </c>
      <c r="AA46" s="281">
        <v>0</v>
      </c>
      <c r="AB46" s="281">
        <v>0</v>
      </c>
      <c r="AC46" s="281">
        <v>0</v>
      </c>
      <c r="AD46" s="281">
        <v>0</v>
      </c>
      <c r="AE46" s="281">
        <v>0</v>
      </c>
      <c r="AF46" s="924"/>
      <c r="AG46" s="731"/>
    </row>
    <row r="47" spans="1:33" ht="21.75" customHeight="1">
      <c r="A47" s="62"/>
      <c r="B47" s="59"/>
      <c r="C47" s="58" t="s">
        <v>317</v>
      </c>
      <c r="D47" s="462" t="s">
        <v>31</v>
      </c>
      <c r="E47" s="281">
        <f>'3.sz.m Önk  bev.'!E45</f>
        <v>20360661</v>
      </c>
      <c r="F47" s="221">
        <f>'3.sz.m Önk  bev.'!F45</f>
        <v>20360661</v>
      </c>
      <c r="G47" s="221">
        <f>'3.sz.m Önk  bev.'!G45</f>
        <v>20360661</v>
      </c>
      <c r="H47" s="221">
        <f>'3.sz.m Önk  bev.'!H45</f>
        <v>20360661</v>
      </c>
      <c r="I47" s="221">
        <f>'3.sz.m Önk  bev.'!I45</f>
        <v>20360661</v>
      </c>
      <c r="J47" s="221">
        <f>'3.sz.m Önk  bev.'!J45</f>
        <v>18266361</v>
      </c>
      <c r="K47" s="924">
        <f t="shared" si="4"/>
        <v>0.8971398816570837</v>
      </c>
      <c r="L47" s="281">
        <f>'3.sz.m Önk  bev.'!L45</f>
        <v>20360661</v>
      </c>
      <c r="M47" s="281">
        <f>'3.sz.m Önk  bev.'!M45</f>
        <v>20360661</v>
      </c>
      <c r="N47" s="281">
        <f>'3.sz.m Önk  bev.'!N45</f>
        <v>20360661</v>
      </c>
      <c r="O47" s="281">
        <f>'3.sz.m Önk  bev.'!O45</f>
        <v>20360661</v>
      </c>
      <c r="P47" s="281">
        <f>'3.sz.m Önk  bev.'!P45</f>
        <v>20360661</v>
      </c>
      <c r="Q47" s="281">
        <f>'3.sz.m Önk  bev.'!Q45</f>
        <v>18266361</v>
      </c>
      <c r="R47" s="924">
        <f t="shared" si="5"/>
        <v>0.8971398816570837</v>
      </c>
      <c r="S47" s="280">
        <f>+'3.sz.m Önk  bev.'!S45</f>
        <v>0</v>
      </c>
      <c r="T47" s="280">
        <f>+'3.sz.m Önk  bev.'!T45</f>
        <v>0</v>
      </c>
      <c r="U47" s="280">
        <f>+'3.sz.m Önk  bev.'!U45</f>
        <v>0</v>
      </c>
      <c r="V47" s="280">
        <f>+'3.sz.m Önk  bev.'!V45</f>
        <v>0</v>
      </c>
      <c r="W47" s="280">
        <f>+'3.sz.m Önk  bev.'!W45</f>
        <v>0</v>
      </c>
      <c r="X47" s="280">
        <f>+'3.sz.m Önk  bev.'!X45</f>
        <v>0</v>
      </c>
      <c r="Y47" s="924"/>
      <c r="Z47" s="281">
        <v>0</v>
      </c>
      <c r="AA47" s="281">
        <v>0</v>
      </c>
      <c r="AB47" s="281">
        <v>0</v>
      </c>
      <c r="AC47" s="281">
        <v>0</v>
      </c>
      <c r="AD47" s="281">
        <v>0</v>
      </c>
      <c r="AE47" s="281">
        <v>0</v>
      </c>
      <c r="AF47" s="924"/>
      <c r="AG47" s="731"/>
    </row>
    <row r="48" spans="1:33" ht="21.75" customHeight="1">
      <c r="A48" s="66"/>
      <c r="B48" s="70"/>
      <c r="C48" s="64" t="s">
        <v>318</v>
      </c>
      <c r="D48" s="462" t="s">
        <v>319</v>
      </c>
      <c r="E48" s="281">
        <f>'3.sz.m Önk  bev.'!E46</f>
        <v>0</v>
      </c>
      <c r="F48" s="221">
        <f>'3.sz.m Önk  bev.'!F46</f>
        <v>0</v>
      </c>
      <c r="G48" s="221">
        <f>'3.sz.m Önk  bev.'!G46</f>
        <v>0</v>
      </c>
      <c r="H48" s="221">
        <f>'3.sz.m Önk  bev.'!H46</f>
        <v>91184000</v>
      </c>
      <c r="I48" s="221">
        <f>'3.sz.m Önk  bev.'!I46</f>
        <v>126013311</v>
      </c>
      <c r="J48" s="221">
        <f>'3.sz.m Önk  bev.'!J46</f>
        <v>127033116</v>
      </c>
      <c r="K48" s="924">
        <f t="shared" si="4"/>
        <v>1.008092835525923</v>
      </c>
      <c r="L48" s="281">
        <f>'3.sz.m Önk  bev.'!L46</f>
        <v>0</v>
      </c>
      <c r="M48" s="281">
        <f>'3.sz.m Önk  bev.'!M46</f>
        <v>0</v>
      </c>
      <c r="N48" s="281">
        <f>'3.sz.m Önk  bev.'!N46</f>
        <v>0</v>
      </c>
      <c r="O48" s="281">
        <f>'3.sz.m Önk  bev.'!O46</f>
        <v>91184000</v>
      </c>
      <c r="P48" s="281">
        <f>'3.sz.m Önk  bev.'!P46</f>
        <v>126013311</v>
      </c>
      <c r="Q48" s="281">
        <f>'3.sz.m Önk  bev.'!Q46</f>
        <v>127033116</v>
      </c>
      <c r="R48" s="924">
        <f t="shared" si="5"/>
        <v>1.008092835525923</v>
      </c>
      <c r="S48" s="281">
        <v>0</v>
      </c>
      <c r="T48" s="281">
        <v>0</v>
      </c>
      <c r="U48" s="281">
        <v>0</v>
      </c>
      <c r="V48" s="281">
        <v>0</v>
      </c>
      <c r="W48" s="281">
        <v>0</v>
      </c>
      <c r="X48" s="281">
        <v>0</v>
      </c>
      <c r="Y48" s="924"/>
      <c r="Z48" s="281">
        <v>0</v>
      </c>
      <c r="AA48" s="281">
        <v>0</v>
      </c>
      <c r="AB48" s="281">
        <v>0</v>
      </c>
      <c r="AC48" s="281">
        <v>0</v>
      </c>
      <c r="AD48" s="281">
        <v>0</v>
      </c>
      <c r="AE48" s="281">
        <v>0</v>
      </c>
      <c r="AF48" s="924"/>
      <c r="AG48" s="731"/>
    </row>
    <row r="49" spans="1:33" ht="21.75" customHeight="1" thickBot="1">
      <c r="A49" s="284"/>
      <c r="B49" s="59" t="s">
        <v>342</v>
      </c>
      <c r="C49" s="1517" t="s">
        <v>462</v>
      </c>
      <c r="D49" s="1517"/>
      <c r="E49" s="281"/>
      <c r="F49" s="221">
        <f>'3.sz.m Önk  bev.'!F47</f>
        <v>0</v>
      </c>
      <c r="G49" s="221">
        <f>'3.sz.m Önk  bev.'!G47</f>
        <v>0</v>
      </c>
      <c r="H49" s="221">
        <f>'3.sz.m Önk  bev.'!H47</f>
        <v>0</v>
      </c>
      <c r="I49" s="221">
        <f>'3.sz.m Önk  bev.'!I47</f>
        <v>0</v>
      </c>
      <c r="J49" s="221">
        <f>'3.sz.m Önk  bev.'!J47</f>
        <v>0</v>
      </c>
      <c r="K49" s="924"/>
      <c r="L49" s="281"/>
      <c r="M49" s="281"/>
      <c r="N49" s="281"/>
      <c r="O49" s="281"/>
      <c r="P49" s="281"/>
      <c r="Q49" s="281"/>
      <c r="R49" s="924"/>
      <c r="S49" s="281">
        <v>0</v>
      </c>
      <c r="T49" s="281">
        <v>0</v>
      </c>
      <c r="U49" s="281">
        <v>0</v>
      </c>
      <c r="V49" s="281">
        <v>0</v>
      </c>
      <c r="W49" s="281">
        <v>0</v>
      </c>
      <c r="X49" s="281">
        <v>0</v>
      </c>
      <c r="Y49" s="924"/>
      <c r="Z49" s="281">
        <v>0</v>
      </c>
      <c r="AA49" s="281">
        <v>0</v>
      </c>
      <c r="AB49" s="281">
        <v>0</v>
      </c>
      <c r="AC49" s="281">
        <v>0</v>
      </c>
      <c r="AD49" s="281">
        <v>0</v>
      </c>
      <c r="AE49" s="281">
        <v>0</v>
      </c>
      <c r="AF49" s="924"/>
      <c r="AG49" s="731"/>
    </row>
    <row r="50" spans="1:33" ht="21.75" customHeight="1" hidden="1" thickBot="1">
      <c r="A50" s="284"/>
      <c r="B50" s="70"/>
      <c r="C50" s="1523"/>
      <c r="D50" s="1524"/>
      <c r="E50" s="416"/>
      <c r="F50" s="417"/>
      <c r="G50" s="417"/>
      <c r="H50" s="417"/>
      <c r="I50" s="417"/>
      <c r="J50" s="417"/>
      <c r="K50" s="927" t="e">
        <f t="shared" si="4"/>
        <v>#DIV/0!</v>
      </c>
      <c r="L50" s="416"/>
      <c r="M50" s="416"/>
      <c r="N50" s="416"/>
      <c r="O50" s="416"/>
      <c r="P50" s="416"/>
      <c r="Q50" s="416"/>
      <c r="R50" s="927" t="e">
        <f t="shared" si="5"/>
        <v>#DIV/0!</v>
      </c>
      <c r="S50" s="416"/>
      <c r="T50" s="416"/>
      <c r="U50" s="416"/>
      <c r="V50" s="416"/>
      <c r="W50" s="416"/>
      <c r="X50" s="416"/>
      <c r="Y50" s="927" t="e">
        <f>+X50/W50</f>
        <v>#DIV/0!</v>
      </c>
      <c r="Z50" s="416"/>
      <c r="AA50" s="416"/>
      <c r="AB50" s="416"/>
      <c r="AC50" s="416"/>
      <c r="AD50" s="416"/>
      <c r="AE50" s="416"/>
      <c r="AF50" s="927"/>
      <c r="AG50" s="731"/>
    </row>
    <row r="51" spans="1:33" ht="21.75" customHeight="1" thickBot="1">
      <c r="A51" s="69" t="s">
        <v>11</v>
      </c>
      <c r="B51" s="1525" t="s">
        <v>73</v>
      </c>
      <c r="C51" s="1525"/>
      <c r="D51" s="1525"/>
      <c r="E51" s="273">
        <f aca="true" t="shared" si="27" ref="E51:L51">E52+E53</f>
        <v>60000</v>
      </c>
      <c r="F51" s="72">
        <f t="shared" si="27"/>
        <v>75000</v>
      </c>
      <c r="G51" s="72">
        <f t="shared" si="27"/>
        <v>120000</v>
      </c>
      <c r="H51" s="72">
        <f>H52+H53</f>
        <v>260000</v>
      </c>
      <c r="I51" s="72">
        <f t="shared" si="27"/>
        <v>260000</v>
      </c>
      <c r="J51" s="72">
        <f t="shared" si="27"/>
        <v>260000</v>
      </c>
      <c r="K51" s="925">
        <f t="shared" si="4"/>
        <v>1</v>
      </c>
      <c r="L51" s="273">
        <f t="shared" si="27"/>
        <v>60000</v>
      </c>
      <c r="M51" s="273">
        <f>M52+M53</f>
        <v>75000</v>
      </c>
      <c r="N51" s="273">
        <f>N52+N53</f>
        <v>120000</v>
      </c>
      <c r="O51" s="273">
        <f>O52+O53</f>
        <v>260000</v>
      </c>
      <c r="P51" s="273">
        <f>P52+P53</f>
        <v>260000</v>
      </c>
      <c r="Q51" s="273">
        <f>Q52+Q53</f>
        <v>260000</v>
      </c>
      <c r="R51" s="925">
        <f t="shared" si="5"/>
        <v>1</v>
      </c>
      <c r="S51" s="273">
        <f aca="true" t="shared" si="28" ref="S51:X51">S52+S53</f>
        <v>0</v>
      </c>
      <c r="T51" s="273">
        <f t="shared" si="28"/>
        <v>0</v>
      </c>
      <c r="U51" s="273">
        <f t="shared" si="28"/>
        <v>0</v>
      </c>
      <c r="V51" s="273">
        <f t="shared" si="28"/>
        <v>0</v>
      </c>
      <c r="W51" s="273">
        <f t="shared" si="28"/>
        <v>0</v>
      </c>
      <c r="X51" s="273">
        <f t="shared" si="28"/>
        <v>0</v>
      </c>
      <c r="Y51" s="925"/>
      <c r="Z51" s="273">
        <f aca="true" t="shared" si="29" ref="Z51:AE51">Z52+Z53</f>
        <v>0</v>
      </c>
      <c r="AA51" s="273">
        <f t="shared" si="29"/>
        <v>0</v>
      </c>
      <c r="AB51" s="273">
        <f t="shared" si="29"/>
        <v>0</v>
      </c>
      <c r="AC51" s="273">
        <f t="shared" si="29"/>
        <v>0</v>
      </c>
      <c r="AD51" s="273">
        <f t="shared" si="29"/>
        <v>0</v>
      </c>
      <c r="AE51" s="273">
        <f t="shared" si="29"/>
        <v>0</v>
      </c>
      <c r="AF51" s="925"/>
      <c r="AG51" s="731"/>
    </row>
    <row r="52" spans="1:33" s="6" customFormat="1" ht="21.75" customHeight="1">
      <c r="A52" s="71"/>
      <c r="B52" s="70" t="s">
        <v>43</v>
      </c>
      <c r="C52" s="1529" t="s">
        <v>331</v>
      </c>
      <c r="D52" s="1529"/>
      <c r="E52" s="281">
        <f>'3.sz.m Önk  bev.'!E50</f>
        <v>60000</v>
      </c>
      <c r="F52" s="221">
        <f>'3.sz.m Önk  bev.'!F50</f>
        <v>75000</v>
      </c>
      <c r="G52" s="221">
        <f>'3.sz.m Önk  bev.'!G50</f>
        <v>120000</v>
      </c>
      <c r="H52" s="221">
        <f>'3.sz.m Önk  bev.'!H50</f>
        <v>160000</v>
      </c>
      <c r="I52" s="221">
        <f>'3.sz.m Önk  bev.'!I50+'5.2 sz. m ÁMK'!H24</f>
        <v>160000</v>
      </c>
      <c r="J52" s="221">
        <f>'3.sz.m Önk  bev.'!J50+'5.2 sz. m ÁMK'!I24</f>
        <v>160000</v>
      </c>
      <c r="K52" s="924">
        <f t="shared" si="4"/>
        <v>1</v>
      </c>
      <c r="L52" s="281">
        <f>'3.sz.m Önk  bev.'!L50</f>
        <v>60000</v>
      </c>
      <c r="M52" s="281">
        <f>'3.sz.m Önk  bev.'!M50</f>
        <v>75000</v>
      </c>
      <c r="N52" s="281">
        <f>'3.sz.m Önk  bev.'!N50</f>
        <v>120000</v>
      </c>
      <c r="O52" s="281">
        <f>'3.sz.m Önk  bev.'!O50</f>
        <v>160000</v>
      </c>
      <c r="P52" s="281">
        <f>'3.sz.m Önk  bev.'!P50</f>
        <v>160000</v>
      </c>
      <c r="Q52" s="281">
        <f>'3.sz.m Önk  bev.'!Q50</f>
        <v>160000</v>
      </c>
      <c r="R52" s="924">
        <f t="shared" si="5"/>
        <v>1</v>
      </c>
      <c r="S52" s="281">
        <v>0</v>
      </c>
      <c r="T52" s="281">
        <v>0</v>
      </c>
      <c r="U52" s="281">
        <v>0</v>
      </c>
      <c r="V52" s="281">
        <v>0</v>
      </c>
      <c r="W52" s="281">
        <v>0</v>
      </c>
      <c r="X52" s="281">
        <v>0</v>
      </c>
      <c r="Y52" s="924"/>
      <c r="Z52" s="281">
        <v>0</v>
      </c>
      <c r="AA52" s="281">
        <v>0</v>
      </c>
      <c r="AB52" s="281">
        <v>0</v>
      </c>
      <c r="AC52" s="281">
        <v>0</v>
      </c>
      <c r="AD52" s="281">
        <v>0</v>
      </c>
      <c r="AE52" s="281">
        <v>0</v>
      </c>
      <c r="AF52" s="924"/>
      <c r="AG52" s="731"/>
    </row>
    <row r="53" spans="1:33" ht="21.75" customHeight="1" thickBot="1">
      <c r="A53" s="62"/>
      <c r="B53" s="58" t="s">
        <v>44</v>
      </c>
      <c r="C53" s="1517" t="s">
        <v>448</v>
      </c>
      <c r="D53" s="1517"/>
      <c r="E53" s="281">
        <f>'3.sz.m Önk  bev.'!E51</f>
        <v>0</v>
      </c>
      <c r="F53" s="221">
        <f>'3.sz.m Önk  bev.'!F51</f>
        <v>0</v>
      </c>
      <c r="G53" s="221">
        <f>'3.sz.m Önk  bev.'!G51</f>
        <v>0</v>
      </c>
      <c r="H53" s="221">
        <f>'3.sz.m Önk  bev.'!H51</f>
        <v>100000</v>
      </c>
      <c r="I53" s="221">
        <f>'3.sz.m Önk  bev.'!I51</f>
        <v>100000</v>
      </c>
      <c r="J53" s="221">
        <f>'3.sz.m Önk  bev.'!J51</f>
        <v>100000</v>
      </c>
      <c r="K53" s="924">
        <f t="shared" si="4"/>
        <v>1</v>
      </c>
      <c r="L53" s="281">
        <f>'3.sz.m Önk  bev.'!L51</f>
        <v>0</v>
      </c>
      <c r="M53" s="281">
        <f>'3.sz.m Önk  bev.'!M51</f>
        <v>0</v>
      </c>
      <c r="N53" s="281">
        <f>'3.sz.m Önk  bev.'!N51</f>
        <v>0</v>
      </c>
      <c r="O53" s="281">
        <f>'3.sz.m Önk  bev.'!O51</f>
        <v>100000</v>
      </c>
      <c r="P53" s="281">
        <f>'3.sz.m Önk  bev.'!P51</f>
        <v>100000</v>
      </c>
      <c r="Q53" s="281">
        <f>'3.sz.m Önk  bev.'!Q51</f>
        <v>100000</v>
      </c>
      <c r="R53" s="924">
        <f t="shared" si="5"/>
        <v>1</v>
      </c>
      <c r="S53" s="281">
        <v>0</v>
      </c>
      <c r="T53" s="281">
        <v>0</v>
      </c>
      <c r="U53" s="281">
        <v>0</v>
      </c>
      <c r="V53" s="281">
        <v>0</v>
      </c>
      <c r="W53" s="281">
        <v>0</v>
      </c>
      <c r="X53" s="281">
        <v>0</v>
      </c>
      <c r="Y53" s="924"/>
      <c r="Z53" s="281">
        <v>0</v>
      </c>
      <c r="AA53" s="281">
        <v>0</v>
      </c>
      <c r="AB53" s="281">
        <v>0</v>
      </c>
      <c r="AC53" s="281">
        <v>0</v>
      </c>
      <c r="AD53" s="281">
        <v>0</v>
      </c>
      <c r="AE53" s="281">
        <v>0</v>
      </c>
      <c r="AF53" s="924"/>
      <c r="AG53" s="731"/>
    </row>
    <row r="54" spans="1:33" ht="21.75" customHeight="1" thickBot="1">
      <c r="A54" s="69" t="s">
        <v>12</v>
      </c>
      <c r="B54" s="1525" t="s">
        <v>320</v>
      </c>
      <c r="C54" s="1525"/>
      <c r="D54" s="1525"/>
      <c r="E54" s="270">
        <f aca="true" t="shared" si="30" ref="E54:L54">SUM(E55:E56)</f>
        <v>0</v>
      </c>
      <c r="F54" s="39">
        <f t="shared" si="30"/>
        <v>0</v>
      </c>
      <c r="G54" s="39">
        <f t="shared" si="30"/>
        <v>0</v>
      </c>
      <c r="H54" s="39">
        <f>SUM(H55:H56)</f>
        <v>0</v>
      </c>
      <c r="I54" s="39">
        <f t="shared" si="30"/>
        <v>472441</v>
      </c>
      <c r="J54" s="39">
        <f t="shared" si="30"/>
        <v>472441</v>
      </c>
      <c r="K54" s="928">
        <f t="shared" si="4"/>
        <v>1</v>
      </c>
      <c r="L54" s="270">
        <f t="shared" si="30"/>
        <v>0</v>
      </c>
      <c r="M54" s="270">
        <f>SUM(M55:M56)</f>
        <v>0</v>
      </c>
      <c r="N54" s="270">
        <f>SUM(N55:N56)</f>
        <v>0</v>
      </c>
      <c r="O54" s="270">
        <f>SUM(O55:O56)</f>
        <v>0</v>
      </c>
      <c r="P54" s="270">
        <f>SUM(P55:P56)</f>
        <v>472441</v>
      </c>
      <c r="Q54" s="270">
        <f>SUM(Q55:Q56)</f>
        <v>472441</v>
      </c>
      <c r="R54" s="928">
        <f t="shared" si="5"/>
        <v>1</v>
      </c>
      <c r="S54" s="270">
        <f aca="true" t="shared" si="31" ref="S54:X54">SUM(S55:S56)</f>
        <v>0</v>
      </c>
      <c r="T54" s="270">
        <f t="shared" si="31"/>
        <v>0</v>
      </c>
      <c r="U54" s="270">
        <f t="shared" si="31"/>
        <v>0</v>
      </c>
      <c r="V54" s="270">
        <f t="shared" si="31"/>
        <v>0</v>
      </c>
      <c r="W54" s="270">
        <f t="shared" si="31"/>
        <v>0</v>
      </c>
      <c r="X54" s="270">
        <f t="shared" si="31"/>
        <v>0</v>
      </c>
      <c r="Y54" s="928"/>
      <c r="Z54" s="270">
        <f aca="true" t="shared" si="32" ref="Z54:AE54">SUM(Z55:Z56)</f>
        <v>0</v>
      </c>
      <c r="AA54" s="270">
        <f t="shared" si="32"/>
        <v>0</v>
      </c>
      <c r="AB54" s="270">
        <f t="shared" si="32"/>
        <v>0</v>
      </c>
      <c r="AC54" s="270">
        <f t="shared" si="32"/>
        <v>0</v>
      </c>
      <c r="AD54" s="270">
        <f t="shared" si="32"/>
        <v>0</v>
      </c>
      <c r="AE54" s="270">
        <f t="shared" si="32"/>
        <v>0</v>
      </c>
      <c r="AF54" s="928"/>
      <c r="AG54" s="731"/>
    </row>
    <row r="55" spans="1:33" s="6" customFormat="1" ht="21.75" customHeight="1">
      <c r="A55" s="71"/>
      <c r="B55" s="64" t="s">
        <v>45</v>
      </c>
      <c r="C55" s="1529" t="s">
        <v>322</v>
      </c>
      <c r="D55" s="1529"/>
      <c r="E55" s="282">
        <f>'3.sz.m Önk  bev.'!E53</f>
        <v>0</v>
      </c>
      <c r="F55" s="222">
        <f>'3.sz.m Önk  bev.'!F53</f>
        <v>0</v>
      </c>
      <c r="G55" s="222">
        <f>'3.sz.m Önk  bev.'!G53</f>
        <v>0</v>
      </c>
      <c r="H55" s="222">
        <f>'3.sz.m Önk  bev.'!H53</f>
        <v>0</v>
      </c>
      <c r="I55" s="222">
        <f>'3.sz.m Önk  bev.'!I53</f>
        <v>472441</v>
      </c>
      <c r="J55" s="222">
        <f>'3.sz.m Önk  bev.'!J53</f>
        <v>472441</v>
      </c>
      <c r="K55" s="929">
        <f t="shared" si="4"/>
        <v>1</v>
      </c>
      <c r="L55" s="282">
        <f>'3.sz.m Önk  bev.'!L53</f>
        <v>0</v>
      </c>
      <c r="M55" s="282">
        <f>'3.sz.m Önk  bev.'!M53</f>
        <v>0</v>
      </c>
      <c r="N55" s="282">
        <f>'3.sz.m Önk  bev.'!N53</f>
        <v>0</v>
      </c>
      <c r="O55" s="282">
        <f>'3.sz.m Önk  bev.'!O53</f>
        <v>0</v>
      </c>
      <c r="P55" s="282">
        <f>'3.sz.m Önk  bev.'!P53</f>
        <v>472441</v>
      </c>
      <c r="Q55" s="282">
        <f>'3.sz.m Önk  bev.'!Q53</f>
        <v>472441</v>
      </c>
      <c r="R55" s="929">
        <f t="shared" si="5"/>
        <v>1</v>
      </c>
      <c r="S55" s="282">
        <v>0</v>
      </c>
      <c r="T55" s="282">
        <v>0</v>
      </c>
      <c r="U55" s="282">
        <v>0</v>
      </c>
      <c r="V55" s="282">
        <v>0</v>
      </c>
      <c r="W55" s="282">
        <v>0</v>
      </c>
      <c r="X55" s="282">
        <v>0</v>
      </c>
      <c r="Y55" s="929"/>
      <c r="Z55" s="282">
        <v>0</v>
      </c>
      <c r="AA55" s="282">
        <v>0</v>
      </c>
      <c r="AB55" s="282">
        <v>0</v>
      </c>
      <c r="AC55" s="282">
        <v>0</v>
      </c>
      <c r="AD55" s="282">
        <v>0</v>
      </c>
      <c r="AE55" s="282">
        <v>0</v>
      </c>
      <c r="AF55" s="929"/>
      <c r="AG55" s="731"/>
    </row>
    <row r="56" spans="1:33" ht="21.75" customHeight="1" thickBot="1">
      <c r="A56" s="66"/>
      <c r="B56" s="67" t="s">
        <v>321</v>
      </c>
      <c r="C56" s="1530" t="s">
        <v>323</v>
      </c>
      <c r="D56" s="1530"/>
      <c r="E56" s="274">
        <v>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930"/>
      <c r="L56" s="274">
        <v>0</v>
      </c>
      <c r="M56" s="274">
        <v>0</v>
      </c>
      <c r="N56" s="274">
        <v>0</v>
      </c>
      <c r="O56" s="274">
        <v>0</v>
      </c>
      <c r="P56" s="274">
        <v>0</v>
      </c>
      <c r="Q56" s="274">
        <v>0</v>
      </c>
      <c r="R56" s="930"/>
      <c r="S56" s="274">
        <v>0</v>
      </c>
      <c r="T56" s="274">
        <v>0</v>
      </c>
      <c r="U56" s="274">
        <v>0</v>
      </c>
      <c r="V56" s="274">
        <v>0</v>
      </c>
      <c r="W56" s="274">
        <v>0</v>
      </c>
      <c r="X56" s="274">
        <v>0</v>
      </c>
      <c r="Y56" s="930"/>
      <c r="Z56" s="274">
        <v>0</v>
      </c>
      <c r="AA56" s="274">
        <v>0</v>
      </c>
      <c r="AB56" s="274">
        <v>0</v>
      </c>
      <c r="AC56" s="274">
        <v>0</v>
      </c>
      <c r="AD56" s="274">
        <v>0</v>
      </c>
      <c r="AE56" s="274">
        <v>0</v>
      </c>
      <c r="AF56" s="930"/>
      <c r="AG56" s="731"/>
    </row>
    <row r="57" spans="1:33" ht="21.75" customHeight="1" thickBot="1">
      <c r="A57" s="69" t="s">
        <v>13</v>
      </c>
      <c r="B57" s="1536" t="s">
        <v>75</v>
      </c>
      <c r="C57" s="1536"/>
      <c r="D57" s="1536"/>
      <c r="E57" s="270">
        <f aca="true" t="shared" si="33" ref="E57:J57">E7+E21+E43+E51+E54+E34</f>
        <v>627235218</v>
      </c>
      <c r="F57" s="39">
        <f t="shared" si="33"/>
        <v>627507720</v>
      </c>
      <c r="G57" s="39">
        <f t="shared" si="33"/>
        <v>630772488</v>
      </c>
      <c r="H57" s="39">
        <f t="shared" si="33"/>
        <v>752153116</v>
      </c>
      <c r="I57" s="39">
        <f t="shared" si="33"/>
        <v>839335024</v>
      </c>
      <c r="J57" s="39">
        <f t="shared" si="33"/>
        <v>822379681</v>
      </c>
      <c r="K57" s="928">
        <f t="shared" si="4"/>
        <v>0.9797990760361741</v>
      </c>
      <c r="L57" s="270">
        <f aca="true" t="shared" si="34" ref="L57:Q57">L7+L21+L43+L51+L54+L34</f>
        <v>548522616</v>
      </c>
      <c r="M57" s="270">
        <f t="shared" si="34"/>
        <v>548795118</v>
      </c>
      <c r="N57" s="270">
        <f t="shared" si="34"/>
        <v>551849886</v>
      </c>
      <c r="O57" s="270">
        <f t="shared" si="34"/>
        <v>671500514</v>
      </c>
      <c r="P57" s="270">
        <f t="shared" si="34"/>
        <v>762591516</v>
      </c>
      <c r="Q57" s="270">
        <f t="shared" si="34"/>
        <v>763984500</v>
      </c>
      <c r="R57" s="928">
        <f t="shared" si="5"/>
        <v>1.0018266450265623</v>
      </c>
      <c r="S57" s="270">
        <f aca="true" t="shared" si="35" ref="S57:X57">S7+S21+S43+S51+S54+S34</f>
        <v>78712602</v>
      </c>
      <c r="T57" s="270">
        <f t="shared" si="35"/>
        <v>78712602</v>
      </c>
      <c r="U57" s="270">
        <f t="shared" si="35"/>
        <v>78922602</v>
      </c>
      <c r="V57" s="270">
        <f t="shared" si="35"/>
        <v>80652602</v>
      </c>
      <c r="W57" s="270">
        <f t="shared" si="35"/>
        <v>76743508</v>
      </c>
      <c r="X57" s="270">
        <f t="shared" si="35"/>
        <v>58395181</v>
      </c>
      <c r="Y57" s="928">
        <f>+X57/W57</f>
        <v>0.760913626726576</v>
      </c>
      <c r="Z57" s="270">
        <f aca="true" t="shared" si="36" ref="Z57:AE57">Z7+Z21+Z43+Z51+Z54+Z34</f>
        <v>6843890</v>
      </c>
      <c r="AA57" s="270">
        <f t="shared" si="36"/>
        <v>6843890</v>
      </c>
      <c r="AB57" s="270">
        <f t="shared" si="36"/>
        <v>6843890</v>
      </c>
      <c r="AC57" s="270">
        <f t="shared" si="36"/>
        <v>6843890</v>
      </c>
      <c r="AD57" s="270">
        <f t="shared" si="36"/>
        <v>6843890</v>
      </c>
      <c r="AE57" s="270">
        <f t="shared" si="36"/>
        <v>5610894</v>
      </c>
      <c r="AF57" s="928">
        <f>+AE57/AD57</f>
        <v>0.8198398863804065</v>
      </c>
      <c r="AG57" s="731"/>
    </row>
    <row r="58" spans="1:33" ht="24" customHeight="1" thickBot="1">
      <c r="A58" s="65" t="s">
        <v>56</v>
      </c>
      <c r="B58" s="1525" t="s">
        <v>324</v>
      </c>
      <c r="C58" s="1525"/>
      <c r="D58" s="1525"/>
      <c r="E58" s="270">
        <f aca="true" t="shared" si="37" ref="E58:L58">SUM(E59:E61)</f>
        <v>192197217</v>
      </c>
      <c r="F58" s="39">
        <f t="shared" si="37"/>
        <v>192197217</v>
      </c>
      <c r="G58" s="39">
        <f t="shared" si="37"/>
        <v>192197217</v>
      </c>
      <c r="H58" s="39">
        <f>SUM(H59:H61)</f>
        <v>192197217</v>
      </c>
      <c r="I58" s="39">
        <f t="shared" si="37"/>
        <v>203109863</v>
      </c>
      <c r="J58" s="39">
        <f t="shared" si="37"/>
        <v>203109863</v>
      </c>
      <c r="K58" s="928">
        <f t="shared" si="4"/>
        <v>1</v>
      </c>
      <c r="L58" s="270">
        <f t="shared" si="37"/>
        <v>172297184</v>
      </c>
      <c r="M58" s="270">
        <f>SUM(M59:M61)</f>
        <v>172297184</v>
      </c>
      <c r="N58" s="270">
        <f>SUM(N59:N61)</f>
        <v>172297184</v>
      </c>
      <c r="O58" s="270">
        <f>SUM(O59:O61)</f>
        <v>172297184</v>
      </c>
      <c r="P58" s="270">
        <f>SUM(P59:P61)</f>
        <v>183209830</v>
      </c>
      <c r="Q58" s="270">
        <f>SUM(Q59:Q61)</f>
        <v>183209830</v>
      </c>
      <c r="R58" s="928">
        <f t="shared" si="5"/>
        <v>1</v>
      </c>
      <c r="S58" s="270">
        <f aca="true" t="shared" si="38" ref="S58:X58">SUM(S59:S61)</f>
        <v>19900033</v>
      </c>
      <c r="T58" s="270">
        <f t="shared" si="38"/>
        <v>19900033</v>
      </c>
      <c r="U58" s="270">
        <f t="shared" si="38"/>
        <v>19900033</v>
      </c>
      <c r="V58" s="270">
        <f t="shared" si="38"/>
        <v>19900033</v>
      </c>
      <c r="W58" s="270">
        <f t="shared" si="38"/>
        <v>19900033</v>
      </c>
      <c r="X58" s="270">
        <f t="shared" si="38"/>
        <v>19900033</v>
      </c>
      <c r="Y58" s="928">
        <f>+X58/W58</f>
        <v>1</v>
      </c>
      <c r="Z58" s="270">
        <f aca="true" t="shared" si="39" ref="Z58:AE58">SUM(Z59:Z61)</f>
        <v>0</v>
      </c>
      <c r="AA58" s="270">
        <f t="shared" si="39"/>
        <v>0</v>
      </c>
      <c r="AB58" s="270">
        <f t="shared" si="39"/>
        <v>0</v>
      </c>
      <c r="AC58" s="270">
        <f t="shared" si="39"/>
        <v>0</v>
      </c>
      <c r="AD58" s="270">
        <f t="shared" si="39"/>
        <v>0</v>
      </c>
      <c r="AE58" s="270">
        <f t="shared" si="39"/>
        <v>0</v>
      </c>
      <c r="AF58" s="928"/>
      <c r="AG58" s="731"/>
    </row>
    <row r="59" spans="1:33" ht="21.75" customHeight="1">
      <c r="A59" s="63"/>
      <c r="B59" s="64" t="s">
        <v>46</v>
      </c>
      <c r="C59" s="1529" t="s">
        <v>527</v>
      </c>
      <c r="D59" s="1529"/>
      <c r="E59" s="281">
        <f>'3.sz.m Önk  bev.'!E57</f>
        <v>0</v>
      </c>
      <c r="F59" s="221">
        <f>'3.sz.m Önk  bev.'!F57</f>
        <v>0</v>
      </c>
      <c r="G59" s="221">
        <f>'3.sz.m Önk  bev.'!G57</f>
        <v>0</v>
      </c>
      <c r="H59" s="221">
        <f>'3.sz.m Önk  bev.'!H57</f>
        <v>0</v>
      </c>
      <c r="I59" s="221">
        <f>'3.sz.m Önk  bev.'!I57</f>
        <v>10912646</v>
      </c>
      <c r="J59" s="221">
        <f>'3.sz.m Önk  bev.'!J57</f>
        <v>10912646</v>
      </c>
      <c r="K59" s="924">
        <f t="shared" si="4"/>
        <v>1</v>
      </c>
      <c r="L59" s="281">
        <f>'3.sz.m Önk  bev.'!L57</f>
        <v>0</v>
      </c>
      <c r="M59" s="281">
        <f>'3.sz.m Önk  bev.'!M57</f>
        <v>0</v>
      </c>
      <c r="N59" s="281">
        <f>'3.sz.m Önk  bev.'!N57</f>
        <v>0</v>
      </c>
      <c r="O59" s="281">
        <f>'3.sz.m Önk  bev.'!O57</f>
        <v>0</v>
      </c>
      <c r="P59" s="281">
        <f>'3.sz.m Önk  bev.'!P57</f>
        <v>10912646</v>
      </c>
      <c r="Q59" s="281">
        <f>'3.sz.m Önk  bev.'!Q57</f>
        <v>10912646</v>
      </c>
      <c r="R59" s="924">
        <f t="shared" si="5"/>
        <v>1</v>
      </c>
      <c r="S59" s="281">
        <v>0</v>
      </c>
      <c r="T59" s="281">
        <v>0</v>
      </c>
      <c r="U59" s="281">
        <v>0</v>
      </c>
      <c r="V59" s="281">
        <v>0</v>
      </c>
      <c r="W59" s="281">
        <v>0</v>
      </c>
      <c r="X59" s="281">
        <v>0</v>
      </c>
      <c r="Y59" s="924"/>
      <c r="Z59" s="281">
        <v>0</v>
      </c>
      <c r="AA59" s="281">
        <v>0</v>
      </c>
      <c r="AB59" s="281">
        <v>0</v>
      </c>
      <c r="AC59" s="281">
        <v>0</v>
      </c>
      <c r="AD59" s="281">
        <v>0</v>
      </c>
      <c r="AE59" s="281">
        <v>0</v>
      </c>
      <c r="AF59" s="924"/>
      <c r="AG59" s="731"/>
    </row>
    <row r="60" spans="1:33" ht="21.75" customHeight="1">
      <c r="A60" s="62"/>
      <c r="B60" s="59" t="s">
        <v>47</v>
      </c>
      <c r="C60" s="1529" t="s">
        <v>495</v>
      </c>
      <c r="D60" s="1529"/>
      <c r="E60" s="281">
        <f>'3.sz.m Önk  bev.'!E58</f>
        <v>0</v>
      </c>
      <c r="F60" s="221">
        <f>'3.sz.m Önk  bev.'!F58</f>
        <v>0</v>
      </c>
      <c r="G60" s="221">
        <f>'3.sz.m Önk  bev.'!G58</f>
        <v>0</v>
      </c>
      <c r="H60" s="221">
        <f>'3.sz.m Önk  bev.'!H58</f>
        <v>0</v>
      </c>
      <c r="I60" s="221">
        <f>'3.sz.m Önk  bev.'!I58</f>
        <v>0</v>
      </c>
      <c r="J60" s="221">
        <f>'3.sz.m Önk  bev.'!J58</f>
        <v>0</v>
      </c>
      <c r="K60" s="924"/>
      <c r="L60" s="281">
        <f>'3.sz.m Önk  bev.'!L58</f>
        <v>0</v>
      </c>
      <c r="M60" s="281">
        <f>'3.sz.m Önk  bev.'!M58</f>
        <v>0</v>
      </c>
      <c r="N60" s="281">
        <f>'3.sz.m Önk  bev.'!N58</f>
        <v>0</v>
      </c>
      <c r="O60" s="281">
        <f>'3.sz.m Önk  bev.'!O58</f>
        <v>0</v>
      </c>
      <c r="P60" s="281">
        <f>'3.sz.m Önk  bev.'!P58</f>
        <v>0</v>
      </c>
      <c r="Q60" s="281">
        <f>'3.sz.m Önk  bev.'!Q58</f>
        <v>0</v>
      </c>
      <c r="R60" s="924"/>
      <c r="S60" s="281">
        <v>0</v>
      </c>
      <c r="T60" s="281">
        <v>0</v>
      </c>
      <c r="U60" s="281">
        <v>0</v>
      </c>
      <c r="V60" s="281">
        <v>0</v>
      </c>
      <c r="W60" s="281">
        <v>0</v>
      </c>
      <c r="X60" s="281">
        <v>0</v>
      </c>
      <c r="Y60" s="924"/>
      <c r="Z60" s="281">
        <v>0</v>
      </c>
      <c r="AA60" s="281">
        <v>0</v>
      </c>
      <c r="AB60" s="281">
        <v>0</v>
      </c>
      <c r="AC60" s="281">
        <v>0</v>
      </c>
      <c r="AD60" s="281">
        <v>0</v>
      </c>
      <c r="AE60" s="281">
        <v>0</v>
      </c>
      <c r="AF60" s="924"/>
      <c r="AG60" s="731"/>
    </row>
    <row r="61" spans="1:33" ht="21.75" customHeight="1" thickBot="1">
      <c r="A61" s="62"/>
      <c r="B61" s="59" t="s">
        <v>74</v>
      </c>
      <c r="C61" s="1529" t="s">
        <v>325</v>
      </c>
      <c r="D61" s="1529"/>
      <c r="E61" s="281">
        <f>'3.sz.m Önk  bev.'!E59+'5.1 sz. m Köz Hiv'!D26+'5.2 sz. m ÁMK'!D29</f>
        <v>192197217</v>
      </c>
      <c r="F61" s="221">
        <f>'3.sz.m Önk  bev.'!F59+'5.1 sz. m Köz Hiv'!E26+'5.2 sz. m ÁMK'!E29</f>
        <v>192197217</v>
      </c>
      <c r="G61" s="221">
        <f>'3.sz.m Önk  bev.'!G59+'5.1 sz. m Köz Hiv'!F26+'5.2 sz. m ÁMK'!F29</f>
        <v>192197217</v>
      </c>
      <c r="H61" s="221">
        <f>'3.sz.m Önk  bev.'!H59+'5.1 sz. m Köz Hiv'!G26+'5.2 sz. m ÁMK'!G29</f>
        <v>192197217</v>
      </c>
      <c r="I61" s="221">
        <f>'3.sz.m Önk  bev.'!I59+'5.1 sz. m Köz Hiv'!H26+'5.2 sz. m ÁMK'!H29</f>
        <v>192197217</v>
      </c>
      <c r="J61" s="221">
        <f>'3.sz.m Önk  bev.'!J59+'5.1 sz. m Köz Hiv'!I26+'5.2 sz. m ÁMK'!I29</f>
        <v>192197217</v>
      </c>
      <c r="K61" s="924">
        <f t="shared" si="4"/>
        <v>1</v>
      </c>
      <c r="L61" s="281">
        <f>'3.sz.m Önk  bev.'!L59+'5.1 sz. m Köz Hiv'!L26+'5.2 sz. m ÁMK'!L29</f>
        <v>172297184</v>
      </c>
      <c r="M61" s="281">
        <f>'3.sz.m Önk  bev.'!M59+'5.1 sz. m Köz Hiv'!M26+'5.2 sz. m ÁMK'!M29</f>
        <v>172297184</v>
      </c>
      <c r="N61" s="281">
        <f>'3.sz.m Önk  bev.'!N59+'5.1 sz. m Köz Hiv'!N26+'5.2 sz. m ÁMK'!N29</f>
        <v>172297184</v>
      </c>
      <c r="O61" s="281">
        <f>'3.sz.m Önk  bev.'!O59+'5.1 sz. m Köz Hiv'!O26+'5.2 sz. m ÁMK'!O29</f>
        <v>172297184</v>
      </c>
      <c r="P61" s="281">
        <f>'3.sz.m Önk  bev.'!P59+'5.1 sz. m Köz Hiv'!P26+'5.2 sz. m ÁMK'!P29</f>
        <v>172297184</v>
      </c>
      <c r="Q61" s="281">
        <f>'3.sz.m Önk  bev.'!Q59+'5.1 sz. m Köz Hiv'!Q26+'5.2 sz. m ÁMK'!Q29</f>
        <v>172297184</v>
      </c>
      <c r="R61" s="924">
        <f t="shared" si="5"/>
        <v>1</v>
      </c>
      <c r="S61" s="281">
        <f>+'3.sz.m Önk  bev.'!S59</f>
        <v>19900033</v>
      </c>
      <c r="T61" s="281">
        <f>+'3.sz.m Önk  bev.'!T59</f>
        <v>19900033</v>
      </c>
      <c r="U61" s="281">
        <f>+'3.sz.m Önk  bev.'!U59</f>
        <v>19900033</v>
      </c>
      <c r="V61" s="281">
        <f>+'3.sz.m Önk  bev.'!V59</f>
        <v>19900033</v>
      </c>
      <c r="W61" s="281">
        <f>+'3.sz.m Önk  bev.'!W59</f>
        <v>19900033</v>
      </c>
      <c r="X61" s="281">
        <f>+'3.sz.m Önk  bev.'!X59</f>
        <v>19900033</v>
      </c>
      <c r="Y61" s="924">
        <f>+X61/W61</f>
        <v>1</v>
      </c>
      <c r="Z61" s="281">
        <v>0</v>
      </c>
      <c r="AA61" s="281">
        <v>0</v>
      </c>
      <c r="AB61" s="281">
        <v>0</v>
      </c>
      <c r="AC61" s="281">
        <v>0</v>
      </c>
      <c r="AD61" s="281">
        <v>0</v>
      </c>
      <c r="AE61" s="281">
        <v>0</v>
      </c>
      <c r="AF61" s="924"/>
      <c r="AG61" s="731"/>
    </row>
    <row r="62" spans="1:33" ht="35.25" customHeight="1" thickBot="1">
      <c r="A62" s="69" t="s">
        <v>57</v>
      </c>
      <c r="B62" s="1535" t="s">
        <v>76</v>
      </c>
      <c r="C62" s="1535"/>
      <c r="D62" s="1535"/>
      <c r="E62" s="270">
        <f aca="true" t="shared" si="40" ref="E62:J62">E57+E58</f>
        <v>819432435</v>
      </c>
      <c r="F62" s="39">
        <f t="shared" si="40"/>
        <v>819704937</v>
      </c>
      <c r="G62" s="39">
        <f t="shared" si="40"/>
        <v>822969705</v>
      </c>
      <c r="H62" s="39">
        <f t="shared" si="40"/>
        <v>944350333</v>
      </c>
      <c r="I62" s="39">
        <f t="shared" si="40"/>
        <v>1042444887</v>
      </c>
      <c r="J62" s="39">
        <f t="shared" si="40"/>
        <v>1025489544</v>
      </c>
      <c r="K62" s="928">
        <f t="shared" si="4"/>
        <v>0.9837350221470269</v>
      </c>
      <c r="L62" s="270">
        <f aca="true" t="shared" si="41" ref="L62:Q62">L57+L58</f>
        <v>720819800</v>
      </c>
      <c r="M62" s="270">
        <f t="shared" si="41"/>
        <v>721092302</v>
      </c>
      <c r="N62" s="270">
        <f t="shared" si="41"/>
        <v>724147070</v>
      </c>
      <c r="O62" s="270">
        <f t="shared" si="41"/>
        <v>843797698</v>
      </c>
      <c r="P62" s="270">
        <f t="shared" si="41"/>
        <v>945801346</v>
      </c>
      <c r="Q62" s="270">
        <f t="shared" si="41"/>
        <v>947194330</v>
      </c>
      <c r="R62" s="928">
        <f t="shared" si="5"/>
        <v>1.001472808223303</v>
      </c>
      <c r="S62" s="270">
        <f aca="true" t="shared" si="42" ref="S62:X62">S57+S58</f>
        <v>98612635</v>
      </c>
      <c r="T62" s="270">
        <f t="shared" si="42"/>
        <v>98612635</v>
      </c>
      <c r="U62" s="270">
        <f t="shared" si="42"/>
        <v>98822635</v>
      </c>
      <c r="V62" s="270">
        <f t="shared" si="42"/>
        <v>100552635</v>
      </c>
      <c r="W62" s="270">
        <f t="shared" si="42"/>
        <v>96643541</v>
      </c>
      <c r="X62" s="270">
        <f t="shared" si="42"/>
        <v>78295214</v>
      </c>
      <c r="Y62" s="928">
        <f>+X62/W62</f>
        <v>0.8101443013144561</v>
      </c>
      <c r="Z62" s="270">
        <f aca="true" t="shared" si="43" ref="Z62:AE62">Z57+Z58</f>
        <v>6843890</v>
      </c>
      <c r="AA62" s="270">
        <f t="shared" si="43"/>
        <v>6843890</v>
      </c>
      <c r="AB62" s="270">
        <f t="shared" si="43"/>
        <v>6843890</v>
      </c>
      <c r="AC62" s="270">
        <f t="shared" si="43"/>
        <v>6843890</v>
      </c>
      <c r="AD62" s="270">
        <f t="shared" si="43"/>
        <v>6843890</v>
      </c>
      <c r="AE62" s="270">
        <f t="shared" si="43"/>
        <v>5610894</v>
      </c>
      <c r="AF62" s="928">
        <f>+AE62/AD62</f>
        <v>0.8198398863804065</v>
      </c>
      <c r="AG62" s="731"/>
    </row>
    <row r="63" spans="1:33" ht="21.75" customHeight="1" hidden="1" thickBot="1">
      <c r="A63" s="1521" t="s">
        <v>241</v>
      </c>
      <c r="B63" s="1522"/>
      <c r="C63" s="1522"/>
      <c r="D63" s="1522"/>
      <c r="E63" s="418"/>
      <c r="F63" s="419"/>
      <c r="G63" s="419"/>
      <c r="H63" s="419"/>
      <c r="I63" s="419"/>
      <c r="J63" s="419"/>
      <c r="K63" s="931" t="e">
        <f t="shared" si="4"/>
        <v>#DIV/0!</v>
      </c>
      <c r="L63" s="418"/>
      <c r="M63" s="418"/>
      <c r="N63"/>
      <c r="O63"/>
      <c r="P63"/>
      <c r="Q63"/>
      <c r="R63" s="931" t="e">
        <f t="shared" si="5"/>
        <v>#DIV/0!</v>
      </c>
      <c r="S63" s="418"/>
      <c r="T63" s="418"/>
      <c r="U63"/>
      <c r="V63"/>
      <c r="W63"/>
      <c r="X63"/>
      <c r="Y63" s="931" t="e">
        <f>+X63/W63</f>
        <v>#DIV/0!</v>
      </c>
      <c r="Z63" s="418"/>
      <c r="AA63" s="418"/>
      <c r="AB63"/>
      <c r="AC63"/>
      <c r="AD63"/>
      <c r="AE63" s="418"/>
      <c r="AF63" s="931" t="e">
        <f>+AE63/AD63</f>
        <v>#DIV/0!</v>
      </c>
      <c r="AG63" s="731"/>
    </row>
    <row r="64" spans="1:33" ht="21.75" customHeight="1" thickBot="1">
      <c r="A64" s="1534" t="s">
        <v>6</v>
      </c>
      <c r="B64" s="1535"/>
      <c r="C64" s="1535"/>
      <c r="D64" s="1535"/>
      <c r="E64" s="298">
        <f aca="true" t="shared" si="44" ref="E64:L64">E62+E63</f>
        <v>819432435</v>
      </c>
      <c r="F64" s="299">
        <f t="shared" si="44"/>
        <v>819704937</v>
      </c>
      <c r="G64" s="299">
        <f t="shared" si="44"/>
        <v>822969705</v>
      </c>
      <c r="H64" s="299">
        <f>H62+H63</f>
        <v>944350333</v>
      </c>
      <c r="I64" s="299">
        <f t="shared" si="44"/>
        <v>1042444887</v>
      </c>
      <c r="J64" s="299">
        <f t="shared" si="44"/>
        <v>1025489544</v>
      </c>
      <c r="K64" s="932">
        <f t="shared" si="4"/>
        <v>0.9837350221470269</v>
      </c>
      <c r="L64" s="298">
        <f t="shared" si="44"/>
        <v>720819800</v>
      </c>
      <c r="M64" s="298">
        <f>M62+M63</f>
        <v>721092302</v>
      </c>
      <c r="N64" s="298">
        <f>N62+N63</f>
        <v>724147070</v>
      </c>
      <c r="O64" s="298">
        <f>O62+O63</f>
        <v>843797698</v>
      </c>
      <c r="P64" s="298">
        <f>P62+P63</f>
        <v>945801346</v>
      </c>
      <c r="Q64" s="298">
        <f>Q62+Q63</f>
        <v>947194330</v>
      </c>
      <c r="R64" s="932">
        <f t="shared" si="5"/>
        <v>1.001472808223303</v>
      </c>
      <c r="S64" s="298">
        <f aca="true" t="shared" si="45" ref="S64:X64">S62+S63</f>
        <v>98612635</v>
      </c>
      <c r="T64" s="298">
        <f t="shared" si="45"/>
        <v>98612635</v>
      </c>
      <c r="U64" s="298">
        <f t="shared" si="45"/>
        <v>98822635</v>
      </c>
      <c r="V64" s="298">
        <f t="shared" si="45"/>
        <v>100552635</v>
      </c>
      <c r="W64" s="298">
        <f t="shared" si="45"/>
        <v>96643541</v>
      </c>
      <c r="X64" s="298">
        <f t="shared" si="45"/>
        <v>78295214</v>
      </c>
      <c r="Y64" s="932">
        <f>+X64/W64</f>
        <v>0.8101443013144561</v>
      </c>
      <c r="Z64" s="298">
        <f aca="true" t="shared" si="46" ref="Z64:AE64">Z62+Z63</f>
        <v>6843890</v>
      </c>
      <c r="AA64" s="298">
        <f t="shared" si="46"/>
        <v>6843890</v>
      </c>
      <c r="AB64" s="298">
        <f t="shared" si="46"/>
        <v>6843890</v>
      </c>
      <c r="AC64" s="298">
        <f t="shared" si="46"/>
        <v>6843890</v>
      </c>
      <c r="AD64" s="298">
        <f t="shared" si="46"/>
        <v>6843890</v>
      </c>
      <c r="AE64" s="298">
        <f t="shared" si="46"/>
        <v>5610894</v>
      </c>
      <c r="AF64" s="932">
        <f>+AE64/AD64</f>
        <v>0.8198398863804065</v>
      </c>
      <c r="AG64" s="731"/>
    </row>
    <row r="65" spans="1:25" ht="21.75" customHeight="1">
      <c r="A65" s="420"/>
      <c r="B65" s="421"/>
      <c r="C65" s="421"/>
      <c r="D65" s="421"/>
      <c r="E65" s="671" t="str">
        <f>IF(L64+S64=E64," ","HIBA-nincs egyenlőség")</f>
        <v> </v>
      </c>
      <c r="F65" s="422"/>
      <c r="G65" s="422"/>
      <c r="H65" s="422"/>
      <c r="I65" s="422"/>
      <c r="J65" s="422"/>
      <c r="K65" s="422"/>
      <c r="L65" s="422"/>
      <c r="M65" s="422"/>
      <c r="N65" s="422"/>
      <c r="O65" s="660"/>
      <c r="P65" s="660"/>
      <c r="Q65" s="422"/>
      <c r="R65" s="422"/>
      <c r="S65" s="422"/>
      <c r="T65" s="422"/>
      <c r="U65" s="422"/>
      <c r="V65" s="422"/>
      <c r="W65" s="422"/>
      <c r="X65" s="422"/>
      <c r="Y65" s="1281"/>
    </row>
    <row r="66" spans="1:22" ht="21.75" customHeight="1">
      <c r="A66" s="49"/>
      <c r="B66" s="90"/>
      <c r="C66" s="90"/>
      <c r="D66" s="90"/>
      <c r="F66" s="245"/>
      <c r="L66" s="245"/>
      <c r="T66" s="245"/>
      <c r="U66" s="245"/>
      <c r="V66" s="245"/>
    </row>
    <row r="67" spans="1:22" ht="35.25" customHeight="1">
      <c r="A67" s="49"/>
      <c r="B67" s="90"/>
      <c r="C67" s="90"/>
      <c r="D67" s="90"/>
      <c r="E67" s="245"/>
      <c r="F67" s="245"/>
      <c r="G67" s="245"/>
      <c r="J67" s="245"/>
      <c r="K67" s="245"/>
      <c r="L67" s="245"/>
      <c r="N67" s="245"/>
      <c r="O67" s="245"/>
      <c r="P67" s="245"/>
      <c r="Q67" s="245"/>
      <c r="R67" s="245"/>
      <c r="T67" s="245"/>
      <c r="U67" s="245"/>
      <c r="V67" s="245"/>
    </row>
    <row r="68" spans="1:22" ht="35.25" customHeight="1">
      <c r="A68" s="49"/>
      <c r="B68" s="90"/>
      <c r="C68" s="90"/>
      <c r="D68" s="90"/>
      <c r="E68" s="245"/>
      <c r="F68" s="245"/>
      <c r="G68" s="245"/>
      <c r="J68" s="245"/>
      <c r="K68" s="245"/>
      <c r="M68" s="245"/>
      <c r="O68" s="245"/>
      <c r="P68" s="245"/>
      <c r="Q68" s="245"/>
      <c r="R68" s="245"/>
      <c r="T68" s="245"/>
      <c r="U68" s="245"/>
      <c r="V68" s="245"/>
    </row>
    <row r="69" spans="5:22" ht="12.75">
      <c r="E69" s="245"/>
      <c r="F69" s="245"/>
      <c r="G69" s="245"/>
      <c r="H69" s="245"/>
      <c r="I69" s="245"/>
      <c r="J69" s="245"/>
      <c r="K69" s="245"/>
      <c r="L69" s="245"/>
      <c r="M69" s="245"/>
      <c r="O69" s="245"/>
      <c r="P69" s="245"/>
      <c r="Q69" s="245"/>
      <c r="R69" s="245"/>
      <c r="T69" s="245"/>
      <c r="U69" s="245"/>
      <c r="V69" s="245"/>
    </row>
    <row r="70" spans="5:22" ht="12.75"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T70" s="245"/>
      <c r="U70" s="245"/>
      <c r="V70" s="245"/>
    </row>
    <row r="71" spans="5:22" ht="12.75"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T71" s="245"/>
      <c r="U71" s="245"/>
      <c r="V71" s="245"/>
    </row>
    <row r="72" spans="4:22" ht="12.75">
      <c r="D72" s="56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T72" s="245"/>
      <c r="U72" s="245"/>
      <c r="V72" s="245"/>
    </row>
    <row r="73" spans="4:22" ht="48.75" customHeight="1">
      <c r="D73" s="56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T73" s="245"/>
      <c r="U73" s="245"/>
      <c r="V73" s="245"/>
    </row>
    <row r="74" spans="4:22" ht="46.5" customHeight="1">
      <c r="D74" s="56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T74" s="245"/>
      <c r="U74" s="245"/>
      <c r="V74" s="245"/>
    </row>
    <row r="75" spans="5:22" ht="41.25" customHeight="1"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T75" s="245"/>
      <c r="U75" s="245"/>
      <c r="V75" s="245"/>
    </row>
    <row r="76" spans="5:22" ht="12.75"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T76" s="245"/>
      <c r="U76" s="245"/>
      <c r="V76" s="245"/>
    </row>
    <row r="77" spans="5:22" ht="12.75"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T77" s="245"/>
      <c r="U77" s="245"/>
      <c r="V77" s="245"/>
    </row>
    <row r="78" spans="5:22" ht="12.75"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T78" s="245"/>
      <c r="U78" s="245"/>
      <c r="V78" s="245"/>
    </row>
    <row r="79" spans="5:22" ht="12.75"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T79" s="245"/>
      <c r="U79" s="245"/>
      <c r="V79" s="245"/>
    </row>
    <row r="80" spans="5:22" ht="12.75"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T80" s="245"/>
      <c r="U80" s="245"/>
      <c r="V80" s="245"/>
    </row>
    <row r="81" spans="5:22" ht="12.75"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T81" s="245"/>
      <c r="U81" s="245"/>
      <c r="V81" s="245"/>
    </row>
    <row r="82" spans="5:22" ht="12.75"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T82" s="245"/>
      <c r="U82" s="245"/>
      <c r="V82" s="245"/>
    </row>
    <row r="83" spans="5:22" ht="12.75"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T83" s="245"/>
      <c r="U83" s="245"/>
      <c r="V83" s="245"/>
    </row>
    <row r="84" spans="5:22" ht="12.75"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T84" s="245"/>
      <c r="U84" s="245"/>
      <c r="V84" s="245"/>
    </row>
    <row r="85" spans="5:22" ht="12.75"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T85" s="245"/>
      <c r="U85" s="245"/>
      <c r="V85" s="245"/>
    </row>
    <row r="86" spans="5:22" ht="12.75"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T86" s="245"/>
      <c r="U86" s="245"/>
      <c r="V86" s="245"/>
    </row>
    <row r="87" spans="5:22" ht="12.75"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T87" s="245"/>
      <c r="U87" s="245"/>
      <c r="V87" s="245"/>
    </row>
    <row r="88" spans="5:22" ht="12.75"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T88" s="245"/>
      <c r="U88" s="245"/>
      <c r="V88" s="245"/>
    </row>
    <row r="89" spans="5:22" ht="12.75"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T89" s="245"/>
      <c r="U89" s="245"/>
      <c r="V89" s="245"/>
    </row>
    <row r="90" spans="5:22" ht="12.75"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T90" s="245"/>
      <c r="U90" s="245"/>
      <c r="V90" s="245"/>
    </row>
    <row r="91" spans="5:22" ht="12.75"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T91" s="245"/>
      <c r="U91" s="245"/>
      <c r="V91" s="245"/>
    </row>
    <row r="92" spans="5:22" ht="12.75"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T92" s="245"/>
      <c r="U92" s="245"/>
      <c r="V92" s="245"/>
    </row>
    <row r="93" spans="5:22" ht="12.75"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T93" s="245"/>
      <c r="U93" s="245"/>
      <c r="V93" s="245"/>
    </row>
    <row r="94" spans="5:22" ht="12.75"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T94" s="245"/>
      <c r="U94" s="245"/>
      <c r="V94" s="245"/>
    </row>
    <row r="95" spans="5:22" ht="12.75"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T95" s="245"/>
      <c r="U95" s="245"/>
      <c r="V95" s="245"/>
    </row>
    <row r="96" spans="5:22" ht="12.75"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T96" s="245"/>
      <c r="U96" s="245"/>
      <c r="V96" s="245"/>
    </row>
    <row r="97" spans="5:22" ht="12.75"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T97" s="245"/>
      <c r="U97" s="245"/>
      <c r="V97" s="245"/>
    </row>
    <row r="98" spans="5:22" ht="12.75"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T98" s="245"/>
      <c r="U98" s="245"/>
      <c r="V98" s="245"/>
    </row>
    <row r="99" spans="5:22" ht="12.75"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T99" s="245"/>
      <c r="U99" s="245"/>
      <c r="V99" s="245"/>
    </row>
    <row r="100" spans="5:22" ht="12.75"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T100" s="245"/>
      <c r="U100" s="245"/>
      <c r="V100" s="245"/>
    </row>
    <row r="101" spans="5:22" ht="12.75"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T101" s="245"/>
      <c r="U101" s="245"/>
      <c r="V101" s="245"/>
    </row>
    <row r="102" spans="5:22" ht="12.75"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T102" s="245"/>
      <c r="U102" s="245"/>
      <c r="V102" s="245"/>
    </row>
    <row r="103" spans="5:22" ht="12.75"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T103" s="245"/>
      <c r="U103" s="245"/>
      <c r="V103" s="245"/>
    </row>
    <row r="104" spans="5:22" ht="12.75"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T104" s="245"/>
      <c r="U104" s="245"/>
      <c r="V104" s="245"/>
    </row>
    <row r="105" spans="5:22" ht="12.75"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T105" s="245"/>
      <c r="U105" s="245"/>
      <c r="V105" s="245"/>
    </row>
    <row r="106" spans="5:22" ht="12.75"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T106" s="245"/>
      <c r="U106" s="245"/>
      <c r="V106" s="245"/>
    </row>
    <row r="107" spans="5:22" ht="12.75"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T107" s="245"/>
      <c r="U107" s="245"/>
      <c r="V107" s="245"/>
    </row>
    <row r="108" spans="5:22" ht="12.75"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T108" s="245"/>
      <c r="U108" s="245"/>
      <c r="V108" s="245"/>
    </row>
    <row r="109" spans="5:22" ht="12.75"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T109" s="245"/>
      <c r="U109" s="245"/>
      <c r="V109" s="245"/>
    </row>
    <row r="110" spans="5:22" ht="12.75"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T110" s="245"/>
      <c r="U110" s="245"/>
      <c r="V110" s="245"/>
    </row>
    <row r="111" spans="5:22" ht="12.75"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T111" s="245"/>
      <c r="U111" s="245"/>
      <c r="V111" s="245"/>
    </row>
    <row r="112" spans="5:22" ht="12.75"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T112" s="245"/>
      <c r="U112" s="245"/>
      <c r="V112" s="245"/>
    </row>
    <row r="113" spans="5:22" ht="12.75"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T113" s="245"/>
      <c r="U113" s="245"/>
      <c r="V113" s="245"/>
    </row>
  </sheetData>
  <sheetProtection/>
  <mergeCells count="49">
    <mergeCell ref="C13:D13"/>
    <mergeCell ref="E4:K4"/>
    <mergeCell ref="S4:Y4"/>
    <mergeCell ref="A2:S2"/>
    <mergeCell ref="A4:C4"/>
    <mergeCell ref="B6:D6"/>
    <mergeCell ref="B7:D7"/>
    <mergeCell ref="L4:R4"/>
    <mergeCell ref="C32:D32"/>
    <mergeCell ref="C16:D16"/>
    <mergeCell ref="C25:D25"/>
    <mergeCell ref="C17:D17"/>
    <mergeCell ref="C20:D20"/>
    <mergeCell ref="C24:D24"/>
    <mergeCell ref="A64:D64"/>
    <mergeCell ref="B62:D62"/>
    <mergeCell ref="C61:D61"/>
    <mergeCell ref="C52:D52"/>
    <mergeCell ref="B57:D57"/>
    <mergeCell ref="C60:D60"/>
    <mergeCell ref="C59:D59"/>
    <mergeCell ref="P1:AD1"/>
    <mergeCell ref="C31:D31"/>
    <mergeCell ref="C49:D49"/>
    <mergeCell ref="C45:D45"/>
    <mergeCell ref="C38:D38"/>
    <mergeCell ref="B21:D21"/>
    <mergeCell ref="C22:D22"/>
    <mergeCell ref="C23:D23"/>
    <mergeCell ref="C8:D8"/>
    <mergeCell ref="C29:D29"/>
    <mergeCell ref="Z4:AF4"/>
    <mergeCell ref="B54:D54"/>
    <mergeCell ref="C55:D55"/>
    <mergeCell ref="C56:D56"/>
    <mergeCell ref="C30:D30"/>
    <mergeCell ref="C53:D53"/>
    <mergeCell ref="C36:D36"/>
    <mergeCell ref="B51:D51"/>
    <mergeCell ref="C39:D39"/>
    <mergeCell ref="C44:D44"/>
    <mergeCell ref="C37:D37"/>
    <mergeCell ref="C35:D35"/>
    <mergeCell ref="C33:D33"/>
    <mergeCell ref="A63:D63"/>
    <mergeCell ref="C50:D50"/>
    <mergeCell ref="B58:D58"/>
    <mergeCell ref="B34:D34"/>
    <mergeCell ref="B43:D4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view="pageBreakPreview" zoomScale="60" zoomScaleNormal="80" workbookViewId="0" topLeftCell="A1">
      <selection activeCell="D46" sqref="D46"/>
    </sheetView>
  </sheetViews>
  <sheetFormatPr defaultColWidth="9.140625" defaultRowHeight="12.75"/>
  <cols>
    <col min="1" max="1" width="9.140625" style="8" customWidth="1"/>
    <col min="2" max="2" width="12.00390625" style="8" customWidth="1"/>
    <col min="3" max="3" width="34.7109375" style="8" customWidth="1"/>
    <col min="4" max="4" width="14.28125" style="475" customWidth="1"/>
    <col min="5" max="6" width="15.28125" style="475" hidden="1" customWidth="1"/>
    <col min="7" max="7" width="15.7109375" style="475" hidden="1" customWidth="1"/>
    <col min="8" max="8" width="16.140625" style="475" customWidth="1"/>
    <col min="9" max="9" width="15.57421875" style="475" customWidth="1"/>
    <col min="10" max="10" width="16.28125" style="475" customWidth="1"/>
    <col min="11" max="11" width="14.140625" style="288" customWidth="1"/>
    <col min="12" max="12" width="13.8515625" style="288" hidden="1" customWidth="1"/>
    <col min="13" max="13" width="15.421875" style="288" hidden="1" customWidth="1"/>
    <col min="14" max="14" width="16.57421875" style="288" hidden="1" customWidth="1"/>
    <col min="15" max="15" width="14.140625" style="288" customWidth="1"/>
    <col min="16" max="16" width="13.7109375" style="288" customWidth="1"/>
    <col min="17" max="17" width="10.421875" style="288" customWidth="1"/>
    <col min="18" max="18" width="13.00390625" style="288" customWidth="1"/>
    <col min="19" max="19" width="13.7109375" style="288" hidden="1" customWidth="1"/>
    <col min="20" max="20" width="12.421875" style="8" hidden="1" customWidth="1"/>
    <col min="21" max="21" width="12.7109375" style="8" hidden="1" customWidth="1"/>
    <col min="22" max="22" width="13.7109375" style="8" customWidth="1"/>
    <col min="23" max="23" width="12.7109375" style="8" bestFit="1" customWidth="1"/>
    <col min="24" max="24" width="11.7109375" style="8" customWidth="1"/>
    <col min="25" max="16384" width="9.140625" style="8" customWidth="1"/>
  </cols>
  <sheetData>
    <row r="1" spans="4:24" ht="12.75">
      <c r="D1" s="473"/>
      <c r="E1" s="473"/>
      <c r="F1" s="473"/>
      <c r="G1" s="473"/>
      <c r="H1" s="473"/>
      <c r="I1" s="473"/>
      <c r="J1" s="473"/>
      <c r="K1" s="1633" t="s">
        <v>1017</v>
      </c>
      <c r="L1" s="1633"/>
      <c r="M1" s="1633"/>
      <c r="N1" s="1633"/>
      <c r="O1" s="1633"/>
      <c r="P1" s="1633"/>
      <c r="Q1" s="1633"/>
      <c r="R1" s="1633"/>
      <c r="S1" s="1633"/>
      <c r="T1" s="1633"/>
      <c r="U1" s="1633"/>
      <c r="V1" s="1633"/>
      <c r="W1" s="1633"/>
      <c r="X1" s="1633"/>
    </row>
    <row r="2" spans="1:24" ht="16.5" customHeight="1">
      <c r="A2" s="1648" t="s">
        <v>357</v>
      </c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8"/>
      <c r="N2" s="1648"/>
      <c r="O2" s="1648"/>
      <c r="P2" s="1648"/>
      <c r="Q2" s="1648"/>
      <c r="R2" s="1648"/>
      <c r="S2" s="1648"/>
      <c r="T2" s="1648"/>
      <c r="U2" s="1648"/>
      <c r="V2" s="1648"/>
      <c r="W2" s="1648"/>
      <c r="X2" s="1648"/>
    </row>
    <row r="3" spans="1:24" ht="15" customHeight="1">
      <c r="A3" s="1631" t="s">
        <v>618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</row>
    <row r="4" spans="1:24" ht="15" customHeight="1">
      <c r="A4" s="1632" t="s">
        <v>358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</row>
    <row r="5" spans="2:24" ht="13.5" thickBot="1">
      <c r="B5" s="474"/>
      <c r="C5" s="474"/>
      <c r="R5" s="1637" t="s">
        <v>465</v>
      </c>
      <c r="S5" s="1637"/>
      <c r="T5" s="1637"/>
      <c r="U5" s="1637"/>
      <c r="V5" s="1637"/>
      <c r="W5" s="1637"/>
      <c r="X5" s="1637"/>
    </row>
    <row r="6" spans="1:25" s="478" customFormat="1" ht="41.25" customHeight="1" thickBot="1">
      <c r="A6" s="476" t="s">
        <v>5</v>
      </c>
      <c r="B6" s="1644" t="s">
        <v>3</v>
      </c>
      <c r="C6" s="1644"/>
      <c r="D6" s="1645" t="s">
        <v>4</v>
      </c>
      <c r="E6" s="1646"/>
      <c r="F6" s="1646"/>
      <c r="G6" s="1646"/>
      <c r="H6" s="1646"/>
      <c r="I6" s="1646"/>
      <c r="J6" s="1647"/>
      <c r="K6" s="1645" t="s">
        <v>359</v>
      </c>
      <c r="L6" s="1646"/>
      <c r="M6" s="1646"/>
      <c r="N6" s="1646"/>
      <c r="O6" s="1646"/>
      <c r="P6" s="1646"/>
      <c r="Q6" s="1647"/>
      <c r="R6" s="1645" t="s">
        <v>360</v>
      </c>
      <c r="S6" s="1646"/>
      <c r="T6" s="1646"/>
      <c r="U6" s="1646"/>
      <c r="V6" s="1646"/>
      <c r="W6" s="1646"/>
      <c r="X6" s="1647"/>
      <c r="Y6" s="477"/>
    </row>
    <row r="7" spans="1:24" s="478" customFormat="1" ht="41.25" customHeight="1" thickBot="1">
      <c r="A7" s="29"/>
      <c r="B7" s="479"/>
      <c r="C7" s="479"/>
      <c r="D7" s="480" t="s">
        <v>64</v>
      </c>
      <c r="E7" s="481" t="s">
        <v>225</v>
      </c>
      <c r="F7" s="481" t="s">
        <v>228</v>
      </c>
      <c r="G7" s="481" t="s">
        <v>230</v>
      </c>
      <c r="H7" s="481" t="s">
        <v>242</v>
      </c>
      <c r="I7" s="889" t="s">
        <v>233</v>
      </c>
      <c r="J7" s="890" t="s">
        <v>344</v>
      </c>
      <c r="K7" s="888" t="s">
        <v>64</v>
      </c>
      <c r="L7" s="889" t="s">
        <v>225</v>
      </c>
      <c r="M7" s="889" t="s">
        <v>228</v>
      </c>
      <c r="N7" s="889" t="s">
        <v>230</v>
      </c>
      <c r="O7" s="889" t="s">
        <v>242</v>
      </c>
      <c r="P7" s="889" t="s">
        <v>233</v>
      </c>
      <c r="Q7" s="890" t="s">
        <v>344</v>
      </c>
      <c r="R7" s="888" t="s">
        <v>64</v>
      </c>
      <c r="S7" s="889" t="s">
        <v>225</v>
      </c>
      <c r="T7" s="889" t="s">
        <v>228</v>
      </c>
      <c r="U7" s="889" t="s">
        <v>230</v>
      </c>
      <c r="V7" s="889" t="s">
        <v>242</v>
      </c>
      <c r="W7" s="481" t="s">
        <v>233</v>
      </c>
      <c r="X7" s="482" t="s">
        <v>344</v>
      </c>
    </row>
    <row r="8" spans="1:24" ht="27.75" customHeight="1">
      <c r="A8" s="30">
        <v>1</v>
      </c>
      <c r="B8" s="1649" t="s">
        <v>361</v>
      </c>
      <c r="C8" s="1649"/>
      <c r="D8" s="483">
        <v>607200</v>
      </c>
      <c r="E8" s="484">
        <v>607200</v>
      </c>
      <c r="F8" s="484">
        <v>607200</v>
      </c>
      <c r="G8" s="484">
        <v>642720</v>
      </c>
      <c r="H8" s="484">
        <v>642720</v>
      </c>
      <c r="I8" s="950">
        <v>164038</v>
      </c>
      <c r="J8" s="951">
        <f>+I8/H8</f>
        <v>0.2552246701518546</v>
      </c>
      <c r="K8" s="952">
        <v>607200</v>
      </c>
      <c r="L8" s="950">
        <v>607200</v>
      </c>
      <c r="M8" s="950">
        <v>607200</v>
      </c>
      <c r="N8" s="950">
        <v>642720</v>
      </c>
      <c r="O8" s="950">
        <v>642720</v>
      </c>
      <c r="P8" s="950">
        <v>164038</v>
      </c>
      <c r="Q8" s="951">
        <f>+P8/O8</f>
        <v>0.2552246701518546</v>
      </c>
      <c r="R8" s="952"/>
      <c r="S8" s="950"/>
      <c r="T8" s="950"/>
      <c r="U8" s="950"/>
      <c r="V8" s="950"/>
      <c r="W8" s="484"/>
      <c r="X8" s="485"/>
    </row>
    <row r="9" spans="1:24" ht="27.75" customHeight="1">
      <c r="A9" s="30">
        <v>2</v>
      </c>
      <c r="B9" s="1641" t="s">
        <v>479</v>
      </c>
      <c r="C9" s="1641"/>
      <c r="D9" s="486">
        <v>147634</v>
      </c>
      <c r="E9" s="487">
        <v>147634</v>
      </c>
      <c r="F9" s="487">
        <v>147634</v>
      </c>
      <c r="G9" s="487">
        <v>147634</v>
      </c>
      <c r="H9" s="487">
        <v>147634</v>
      </c>
      <c r="I9" s="487">
        <v>0</v>
      </c>
      <c r="J9" s="488">
        <f aca="true" t="shared" si="0" ref="J9:J40">+I9/H9</f>
        <v>0</v>
      </c>
      <c r="K9" s="486">
        <v>147634</v>
      </c>
      <c r="L9" s="487">
        <v>147634</v>
      </c>
      <c r="M9" s="487">
        <v>147634</v>
      </c>
      <c r="N9" s="487">
        <v>147634</v>
      </c>
      <c r="O9" s="487">
        <v>147634</v>
      </c>
      <c r="P9" s="487">
        <v>0</v>
      </c>
      <c r="Q9" s="488">
        <f aca="true" t="shared" si="1" ref="Q9:Q22">+P9/O9</f>
        <v>0</v>
      </c>
      <c r="R9" s="486"/>
      <c r="S9" s="487"/>
      <c r="T9" s="487"/>
      <c r="U9" s="487"/>
      <c r="V9" s="487"/>
      <c r="W9" s="487"/>
      <c r="X9" s="489"/>
    </row>
    <row r="10" spans="1:24" ht="27.75" customHeight="1">
      <c r="A10" s="30">
        <v>3</v>
      </c>
      <c r="B10" s="1641" t="s">
        <v>362</v>
      </c>
      <c r="C10" s="1641"/>
      <c r="D10" s="486">
        <v>2000000</v>
      </c>
      <c r="E10" s="487">
        <v>2000000</v>
      </c>
      <c r="F10" s="487">
        <v>5719410</v>
      </c>
      <c r="G10" s="487">
        <v>5719410</v>
      </c>
      <c r="H10" s="487">
        <v>5719410</v>
      </c>
      <c r="I10" s="487">
        <v>2737545</v>
      </c>
      <c r="J10" s="488">
        <f t="shared" si="0"/>
        <v>0.47864115354555803</v>
      </c>
      <c r="K10" s="486">
        <v>2000000</v>
      </c>
      <c r="L10" s="487">
        <v>2000000</v>
      </c>
      <c r="M10" s="487">
        <v>5719410</v>
      </c>
      <c r="N10" s="487">
        <v>5719410</v>
      </c>
      <c r="O10" s="487">
        <v>5719410</v>
      </c>
      <c r="P10" s="487">
        <v>2737545</v>
      </c>
      <c r="Q10" s="488">
        <f t="shared" si="1"/>
        <v>0.47864115354555803</v>
      </c>
      <c r="R10" s="486"/>
      <c r="S10" s="487"/>
      <c r="T10" s="487"/>
      <c r="U10" s="487"/>
      <c r="V10" s="487"/>
      <c r="W10" s="487"/>
      <c r="X10" s="489"/>
    </row>
    <row r="11" spans="1:24" ht="27.75" customHeight="1">
      <c r="A11" s="30">
        <v>4</v>
      </c>
      <c r="B11" s="1641" t="s">
        <v>363</v>
      </c>
      <c r="C11" s="1641"/>
      <c r="D11" s="486">
        <v>1979060</v>
      </c>
      <c r="E11" s="487">
        <v>1979060</v>
      </c>
      <c r="F11" s="487">
        <v>1979060</v>
      </c>
      <c r="G11" s="487">
        <v>1979060</v>
      </c>
      <c r="H11" s="487">
        <v>2032760</v>
      </c>
      <c r="I11" s="487">
        <v>900747</v>
      </c>
      <c r="J11" s="488">
        <f t="shared" si="0"/>
        <v>0.4431152718471438</v>
      </c>
      <c r="K11" s="486"/>
      <c r="L11" s="487"/>
      <c r="M11" s="487"/>
      <c r="N11" s="487"/>
      <c r="O11" s="487"/>
      <c r="P11" s="487"/>
      <c r="Q11" s="488"/>
      <c r="R11" s="486">
        <v>1979060</v>
      </c>
      <c r="S11" s="487">
        <v>1979060</v>
      </c>
      <c r="T11" s="487">
        <v>1979060</v>
      </c>
      <c r="U11" s="487">
        <v>1979060</v>
      </c>
      <c r="V11" s="487">
        <v>2032760</v>
      </c>
      <c r="W11" s="487">
        <v>900747</v>
      </c>
      <c r="X11" s="488">
        <f>+W11/V11</f>
        <v>0.4431152718471438</v>
      </c>
    </row>
    <row r="12" spans="1:24" ht="27.75" customHeight="1">
      <c r="A12" s="30">
        <v>5</v>
      </c>
      <c r="B12" s="1641" t="s">
        <v>364</v>
      </c>
      <c r="C12" s="1641"/>
      <c r="D12" s="486">
        <v>6574452</v>
      </c>
      <c r="E12" s="487">
        <v>6574452</v>
      </c>
      <c r="F12" s="487">
        <v>6574452</v>
      </c>
      <c r="G12" s="487">
        <v>6574452</v>
      </c>
      <c r="H12" s="487">
        <v>6951810</v>
      </c>
      <c r="I12" s="487">
        <v>6951810</v>
      </c>
      <c r="J12" s="488">
        <f t="shared" si="0"/>
        <v>1</v>
      </c>
      <c r="K12" s="486">
        <v>6574452</v>
      </c>
      <c r="L12" s="487">
        <v>6574452</v>
      </c>
      <c r="M12" s="487">
        <v>6574452</v>
      </c>
      <c r="N12" s="487">
        <v>6574452</v>
      </c>
      <c r="O12" s="487">
        <v>6951810</v>
      </c>
      <c r="P12" s="487">
        <v>6951810</v>
      </c>
      <c r="Q12" s="488">
        <f t="shared" si="1"/>
        <v>1</v>
      </c>
      <c r="R12" s="486"/>
      <c r="S12" s="487"/>
      <c r="T12" s="487"/>
      <c r="U12" s="487"/>
      <c r="V12" s="487"/>
      <c r="W12" s="487"/>
      <c r="X12" s="489"/>
    </row>
    <row r="13" spans="1:24" ht="27.75" customHeight="1">
      <c r="A13" s="30">
        <v>6</v>
      </c>
      <c r="B13" s="1641" t="s">
        <v>365</v>
      </c>
      <c r="C13" s="1641"/>
      <c r="D13" s="486">
        <v>32236536</v>
      </c>
      <c r="E13" s="487">
        <v>32593536</v>
      </c>
      <c r="F13" s="487">
        <v>37648930</v>
      </c>
      <c r="G13" s="487">
        <v>37748930</v>
      </c>
      <c r="H13" s="487">
        <v>151526577</v>
      </c>
      <c r="I13" s="487">
        <v>31859010</v>
      </c>
      <c r="J13" s="488">
        <f t="shared" si="0"/>
        <v>0.2102536111536394</v>
      </c>
      <c r="K13" s="486">
        <v>32236536</v>
      </c>
      <c r="L13" s="487">
        <v>32593536</v>
      </c>
      <c r="M13" s="487">
        <v>37648930</v>
      </c>
      <c r="N13" s="487">
        <v>37748930</v>
      </c>
      <c r="O13" s="487">
        <v>151526577</v>
      </c>
      <c r="P13" s="487">
        <v>31859010</v>
      </c>
      <c r="Q13" s="488">
        <f t="shared" si="1"/>
        <v>0.2102536111536394</v>
      </c>
      <c r="R13" s="486"/>
      <c r="S13" s="487"/>
      <c r="T13" s="487"/>
      <c r="U13" s="487"/>
      <c r="V13" s="487"/>
      <c r="W13" s="487"/>
      <c r="X13" s="489"/>
    </row>
    <row r="14" spans="1:24" ht="27.75" customHeight="1">
      <c r="A14" s="30">
        <v>7</v>
      </c>
      <c r="B14" s="1641" t="s">
        <v>366</v>
      </c>
      <c r="C14" s="1641"/>
      <c r="D14" s="486">
        <v>2427681</v>
      </c>
      <c r="E14" s="487">
        <v>2427681</v>
      </c>
      <c r="F14" s="487">
        <v>2427681</v>
      </c>
      <c r="G14" s="487">
        <v>2427681</v>
      </c>
      <c r="H14" s="487">
        <v>2427681</v>
      </c>
      <c r="I14" s="487">
        <v>1153563</v>
      </c>
      <c r="J14" s="488">
        <f t="shared" si="0"/>
        <v>0.47517074936945997</v>
      </c>
      <c r="K14" s="486">
        <v>2427681</v>
      </c>
      <c r="L14" s="487">
        <v>2427681</v>
      </c>
      <c r="M14" s="487">
        <v>2427681</v>
      </c>
      <c r="N14" s="487">
        <v>2427681</v>
      </c>
      <c r="O14" s="487">
        <v>2427681</v>
      </c>
      <c r="P14" s="487">
        <v>1153563</v>
      </c>
      <c r="Q14" s="488">
        <f t="shared" si="1"/>
        <v>0.47517074936945997</v>
      </c>
      <c r="R14" s="486"/>
      <c r="S14" s="487"/>
      <c r="T14" s="487"/>
      <c r="U14" s="487"/>
      <c r="V14" s="487"/>
      <c r="W14" s="487"/>
      <c r="X14" s="489"/>
    </row>
    <row r="15" spans="1:24" ht="27.75" customHeight="1">
      <c r="A15" s="30">
        <v>8</v>
      </c>
      <c r="B15" s="1641" t="s">
        <v>367</v>
      </c>
      <c r="C15" s="1641"/>
      <c r="D15" s="486">
        <v>189600</v>
      </c>
      <c r="E15" s="487">
        <v>189600</v>
      </c>
      <c r="F15" s="487">
        <v>189600</v>
      </c>
      <c r="G15" s="487">
        <v>189600</v>
      </c>
      <c r="H15" s="487">
        <v>639600</v>
      </c>
      <c r="I15" s="487">
        <v>639600</v>
      </c>
      <c r="J15" s="488">
        <f t="shared" si="0"/>
        <v>1</v>
      </c>
      <c r="K15" s="486">
        <v>189600</v>
      </c>
      <c r="L15" s="487">
        <v>189600</v>
      </c>
      <c r="M15" s="487">
        <v>189600</v>
      </c>
      <c r="N15" s="487">
        <v>189600</v>
      </c>
      <c r="O15" s="487">
        <v>639600</v>
      </c>
      <c r="P15" s="487">
        <v>639600</v>
      </c>
      <c r="Q15" s="488">
        <f t="shared" si="1"/>
        <v>1</v>
      </c>
      <c r="R15" s="486"/>
      <c r="S15" s="487"/>
      <c r="T15" s="487"/>
      <c r="U15" s="487"/>
      <c r="V15" s="487"/>
      <c r="W15" s="487"/>
      <c r="X15" s="489"/>
    </row>
    <row r="16" spans="1:24" ht="31.5" customHeight="1" hidden="1">
      <c r="A16" s="30">
        <v>10</v>
      </c>
      <c r="B16" s="1642" t="s">
        <v>368</v>
      </c>
      <c r="C16" s="1643"/>
      <c r="D16" s="486"/>
      <c r="E16" s="487"/>
      <c r="F16" s="487"/>
      <c r="G16" s="487"/>
      <c r="H16" s="487"/>
      <c r="I16" s="487"/>
      <c r="J16" s="488" t="e">
        <f t="shared" si="0"/>
        <v>#DIV/0!</v>
      </c>
      <c r="K16" s="486"/>
      <c r="L16" s="487"/>
      <c r="M16" s="487"/>
      <c r="N16" s="487"/>
      <c r="O16" s="487"/>
      <c r="P16" s="487"/>
      <c r="Q16" s="488" t="e">
        <f t="shared" si="1"/>
        <v>#DIV/0!</v>
      </c>
      <c r="R16" s="486"/>
      <c r="S16" s="487"/>
      <c r="T16" s="487"/>
      <c r="U16" s="487"/>
      <c r="V16" s="487"/>
      <c r="W16" s="487"/>
      <c r="X16" s="489"/>
    </row>
    <row r="17" spans="1:24" ht="27.75" customHeight="1">
      <c r="A17" s="30">
        <v>9</v>
      </c>
      <c r="B17" s="1638" t="s">
        <v>369</v>
      </c>
      <c r="C17" s="1638"/>
      <c r="D17" s="490">
        <v>1206500</v>
      </c>
      <c r="E17" s="491">
        <v>1206500</v>
      </c>
      <c r="F17" s="491">
        <v>1206500</v>
      </c>
      <c r="G17" s="491">
        <v>1206500</v>
      </c>
      <c r="H17" s="491">
        <v>1366500</v>
      </c>
      <c r="I17" s="491">
        <v>853943</v>
      </c>
      <c r="J17" s="488">
        <f t="shared" si="0"/>
        <v>0.6249125503110136</v>
      </c>
      <c r="K17" s="490">
        <v>1206500</v>
      </c>
      <c r="L17" s="491">
        <v>1206500</v>
      </c>
      <c r="M17" s="491">
        <v>1206500</v>
      </c>
      <c r="N17" s="491">
        <v>1206500</v>
      </c>
      <c r="O17" s="491">
        <v>1366500</v>
      </c>
      <c r="P17" s="491">
        <v>853943</v>
      </c>
      <c r="Q17" s="488">
        <f t="shared" si="1"/>
        <v>0.6249125503110136</v>
      </c>
      <c r="R17" s="490"/>
      <c r="S17" s="491"/>
      <c r="T17" s="491"/>
      <c r="U17" s="491"/>
      <c r="V17" s="491"/>
      <c r="W17" s="491"/>
      <c r="X17" s="492"/>
    </row>
    <row r="18" spans="1:24" ht="27.75" customHeight="1">
      <c r="A18" s="30">
        <v>10</v>
      </c>
      <c r="B18" s="1635" t="s">
        <v>464</v>
      </c>
      <c r="C18" s="1638"/>
      <c r="D18" s="490">
        <v>17035</v>
      </c>
      <c r="E18" s="491">
        <v>17035</v>
      </c>
      <c r="F18" s="491">
        <v>17035</v>
      </c>
      <c r="G18" s="491">
        <v>17035</v>
      </c>
      <c r="H18" s="491">
        <v>12832</v>
      </c>
      <c r="I18" s="491">
        <v>12832</v>
      </c>
      <c r="J18" s="488">
        <f t="shared" si="0"/>
        <v>1</v>
      </c>
      <c r="K18" s="490">
        <v>17035</v>
      </c>
      <c r="L18" s="491">
        <v>17035</v>
      </c>
      <c r="M18" s="491">
        <v>17035</v>
      </c>
      <c r="N18" s="491">
        <v>17035</v>
      </c>
      <c r="O18" s="491">
        <v>12832</v>
      </c>
      <c r="P18" s="491">
        <v>12832</v>
      </c>
      <c r="Q18" s="488">
        <f t="shared" si="1"/>
        <v>1</v>
      </c>
      <c r="R18" s="490"/>
      <c r="S18" s="491"/>
      <c r="T18" s="491"/>
      <c r="U18" s="491"/>
      <c r="V18" s="491"/>
      <c r="W18" s="491"/>
      <c r="X18" s="492"/>
    </row>
    <row r="19" spans="1:24" ht="27.75" customHeight="1">
      <c r="A19" s="30">
        <v>11</v>
      </c>
      <c r="B19" s="1635" t="s">
        <v>501</v>
      </c>
      <c r="C19" s="1638"/>
      <c r="D19" s="490"/>
      <c r="E19" s="491"/>
      <c r="F19" s="491">
        <v>2336800</v>
      </c>
      <c r="G19" s="491">
        <f>2979538-642738</f>
        <v>2336800</v>
      </c>
      <c r="H19" s="491">
        <v>2979538</v>
      </c>
      <c r="I19" s="491">
        <v>1063307</v>
      </c>
      <c r="J19" s="488">
        <f t="shared" si="0"/>
        <v>0.3568697563179258</v>
      </c>
      <c r="K19" s="490"/>
      <c r="L19" s="491"/>
      <c r="M19" s="491">
        <v>2336800</v>
      </c>
      <c r="N19" s="491">
        <f>2979538-642738</f>
        <v>2336800</v>
      </c>
      <c r="O19" s="491">
        <v>2979538</v>
      </c>
      <c r="P19" s="491">
        <v>1063307</v>
      </c>
      <c r="Q19" s="488">
        <f t="shared" si="1"/>
        <v>0.3568697563179258</v>
      </c>
      <c r="R19" s="490"/>
      <c r="S19" s="491"/>
      <c r="T19" s="491"/>
      <c r="U19" s="491"/>
      <c r="V19" s="491"/>
      <c r="W19" s="491"/>
      <c r="X19" s="492"/>
    </row>
    <row r="20" spans="1:24" ht="15.75">
      <c r="A20" s="30">
        <v>12</v>
      </c>
      <c r="B20" s="1635" t="s">
        <v>549</v>
      </c>
      <c r="C20" s="1638"/>
      <c r="D20" s="490">
        <v>43815018</v>
      </c>
      <c r="E20" s="491">
        <v>43815018</v>
      </c>
      <c r="F20" s="491">
        <v>43815018</v>
      </c>
      <c r="G20" s="491">
        <v>42695018</v>
      </c>
      <c r="H20" s="491">
        <v>42695018</v>
      </c>
      <c r="I20" s="491">
        <v>32089132</v>
      </c>
      <c r="J20" s="488">
        <f t="shared" si="0"/>
        <v>0.7515896116966153</v>
      </c>
      <c r="K20" s="490"/>
      <c r="L20" s="491"/>
      <c r="M20" s="491"/>
      <c r="N20" s="491"/>
      <c r="O20" s="491"/>
      <c r="P20" s="491"/>
      <c r="Q20" s="488"/>
      <c r="R20" s="490">
        <v>43815018</v>
      </c>
      <c r="S20" s="491">
        <v>43815018</v>
      </c>
      <c r="T20" s="491">
        <v>43815018</v>
      </c>
      <c r="U20" s="491">
        <v>42695018</v>
      </c>
      <c r="V20" s="491">
        <v>42695018</v>
      </c>
      <c r="W20" s="491">
        <v>32089132</v>
      </c>
      <c r="X20" s="488">
        <f>+W20/V20</f>
        <v>0.7515896116966153</v>
      </c>
    </row>
    <row r="21" spans="1:24" ht="31.5" customHeight="1" hidden="1">
      <c r="A21" s="30">
        <v>13</v>
      </c>
      <c r="B21" s="1635" t="s">
        <v>502</v>
      </c>
      <c r="C21" s="1638"/>
      <c r="D21" s="490"/>
      <c r="E21" s="491"/>
      <c r="F21" s="491"/>
      <c r="G21" s="491"/>
      <c r="H21" s="491"/>
      <c r="I21" s="491"/>
      <c r="J21" s="488" t="e">
        <f t="shared" si="0"/>
        <v>#DIV/0!</v>
      </c>
      <c r="K21" s="490"/>
      <c r="L21" s="491"/>
      <c r="M21" s="491"/>
      <c r="N21" s="491"/>
      <c r="O21" s="491"/>
      <c r="P21" s="491"/>
      <c r="Q21" s="488" t="e">
        <f t="shared" si="1"/>
        <v>#DIV/0!</v>
      </c>
      <c r="R21" s="490"/>
      <c r="S21" s="491"/>
      <c r="T21" s="491"/>
      <c r="U21" s="491"/>
      <c r="V21" s="491"/>
      <c r="W21" s="491"/>
      <c r="X21" s="492"/>
    </row>
    <row r="22" spans="1:24" ht="31.5" customHeight="1" hidden="1">
      <c r="A22" s="30">
        <v>14</v>
      </c>
      <c r="B22" s="1635" t="s">
        <v>525</v>
      </c>
      <c r="C22" s="1638"/>
      <c r="D22" s="490"/>
      <c r="E22" s="491"/>
      <c r="F22" s="491"/>
      <c r="G22" s="491"/>
      <c r="H22" s="491"/>
      <c r="I22" s="491"/>
      <c r="J22" s="488" t="e">
        <f t="shared" si="0"/>
        <v>#DIV/0!</v>
      </c>
      <c r="K22" s="490"/>
      <c r="L22" s="491"/>
      <c r="M22" s="491"/>
      <c r="N22" s="491"/>
      <c r="O22" s="491"/>
      <c r="P22" s="491"/>
      <c r="Q22" s="488" t="e">
        <f t="shared" si="1"/>
        <v>#DIV/0!</v>
      </c>
      <c r="R22" s="490"/>
      <c r="S22" s="491"/>
      <c r="T22" s="491"/>
      <c r="U22" s="491"/>
      <c r="V22" s="491"/>
      <c r="W22" s="491"/>
      <c r="X22" s="492"/>
    </row>
    <row r="23" spans="1:24" ht="27.75" customHeight="1">
      <c r="A23" s="30">
        <v>15</v>
      </c>
      <c r="B23" s="1635" t="s">
        <v>548</v>
      </c>
      <c r="C23" s="1638"/>
      <c r="D23" s="490">
        <v>48416</v>
      </c>
      <c r="E23" s="491">
        <v>48416</v>
      </c>
      <c r="F23" s="491">
        <v>48416</v>
      </c>
      <c r="G23" s="491">
        <v>47276</v>
      </c>
      <c r="H23" s="491">
        <v>0</v>
      </c>
      <c r="I23" s="491">
        <v>0</v>
      </c>
      <c r="J23" s="488"/>
      <c r="K23" s="490">
        <v>48416</v>
      </c>
      <c r="L23" s="491">
        <v>48416</v>
      </c>
      <c r="M23" s="491">
        <v>48416</v>
      </c>
      <c r="N23" s="491">
        <v>47276</v>
      </c>
      <c r="O23" s="491">
        <v>0</v>
      </c>
      <c r="P23" s="491">
        <v>0</v>
      </c>
      <c r="Q23" s="488"/>
      <c r="R23" s="490"/>
      <c r="S23" s="491"/>
      <c r="T23" s="491"/>
      <c r="U23" s="491"/>
      <c r="V23" s="491"/>
      <c r="W23" s="491"/>
      <c r="X23" s="492"/>
    </row>
    <row r="24" spans="1:24" ht="31.5" customHeight="1" hidden="1">
      <c r="A24" s="30">
        <v>16</v>
      </c>
      <c r="B24" s="1635" t="s">
        <v>526</v>
      </c>
      <c r="C24" s="1638"/>
      <c r="D24" s="490"/>
      <c r="E24" s="491"/>
      <c r="F24" s="491"/>
      <c r="G24" s="491"/>
      <c r="H24" s="491"/>
      <c r="I24" s="491"/>
      <c r="J24" s="488"/>
      <c r="K24" s="490"/>
      <c r="L24" s="491"/>
      <c r="M24" s="491"/>
      <c r="N24" s="491"/>
      <c r="O24" s="491"/>
      <c r="P24" s="491"/>
      <c r="Q24" s="488"/>
      <c r="R24" s="490"/>
      <c r="S24" s="491"/>
      <c r="T24" s="491"/>
      <c r="U24" s="491"/>
      <c r="V24" s="491"/>
      <c r="W24" s="491"/>
      <c r="X24" s="492"/>
    </row>
    <row r="25" spans="1:24" ht="31.5" customHeight="1" hidden="1" thickBot="1">
      <c r="A25" s="30">
        <v>17</v>
      </c>
      <c r="B25" s="1639" t="s">
        <v>390</v>
      </c>
      <c r="C25" s="1640"/>
      <c r="D25" s="490"/>
      <c r="E25" s="491"/>
      <c r="F25" s="491"/>
      <c r="G25" s="491"/>
      <c r="H25" s="491"/>
      <c r="I25" s="491"/>
      <c r="J25" s="488"/>
      <c r="K25" s="490"/>
      <c r="L25" s="491"/>
      <c r="M25" s="491"/>
      <c r="N25" s="491"/>
      <c r="O25" s="491"/>
      <c r="P25" s="491"/>
      <c r="Q25" s="488"/>
      <c r="R25" s="490"/>
      <c r="S25" s="491"/>
      <c r="T25" s="491"/>
      <c r="U25" s="491"/>
      <c r="V25" s="491"/>
      <c r="W25" s="491"/>
      <c r="X25" s="492"/>
    </row>
    <row r="26" spans="1:24" ht="27.75" customHeight="1">
      <c r="A26" s="30">
        <v>18</v>
      </c>
      <c r="B26" s="1635" t="s">
        <v>547</v>
      </c>
      <c r="C26" s="1638"/>
      <c r="D26" s="490">
        <v>642738</v>
      </c>
      <c r="E26" s="491">
        <v>642738</v>
      </c>
      <c r="F26" s="491">
        <v>642738</v>
      </c>
      <c r="G26" s="491">
        <v>642738</v>
      </c>
      <c r="H26" s="491"/>
      <c r="I26" s="491"/>
      <c r="J26" s="488"/>
      <c r="K26" s="490">
        <v>642738</v>
      </c>
      <c r="L26" s="491">
        <v>642738</v>
      </c>
      <c r="M26" s="491">
        <v>642738</v>
      </c>
      <c r="N26" s="491">
        <v>642738</v>
      </c>
      <c r="O26" s="491"/>
      <c r="P26" s="491"/>
      <c r="Q26" s="488"/>
      <c r="R26" s="490"/>
      <c r="S26" s="491"/>
      <c r="T26" s="491"/>
      <c r="U26" s="491"/>
      <c r="V26" s="491"/>
      <c r="W26" s="491"/>
      <c r="X26" s="492"/>
    </row>
    <row r="27" spans="1:24" ht="31.5" customHeight="1" hidden="1">
      <c r="A27" s="30">
        <v>19</v>
      </c>
      <c r="B27" s="1635" t="s">
        <v>545</v>
      </c>
      <c r="C27" s="1638"/>
      <c r="D27" s="490"/>
      <c r="E27" s="491"/>
      <c r="F27" s="491"/>
      <c r="G27" s="491"/>
      <c r="H27" s="491"/>
      <c r="I27" s="491"/>
      <c r="J27" s="488" t="e">
        <f t="shared" si="0"/>
        <v>#DIV/0!</v>
      </c>
      <c r="K27" s="490"/>
      <c r="L27" s="491"/>
      <c r="M27" s="491"/>
      <c r="N27" s="491"/>
      <c r="O27" s="491"/>
      <c r="P27" s="491"/>
      <c r="Q27" s="488" t="e">
        <f aca="true" t="shared" si="2" ref="Q27:Q40">+P27/O27</f>
        <v>#DIV/0!</v>
      </c>
      <c r="R27" s="490"/>
      <c r="S27" s="491"/>
      <c r="T27" s="491"/>
      <c r="U27" s="491"/>
      <c r="V27" s="491"/>
      <c r="W27" s="491"/>
      <c r="X27" s="492"/>
    </row>
    <row r="28" spans="1:24" ht="27.75" customHeight="1">
      <c r="A28" s="30">
        <v>20</v>
      </c>
      <c r="B28" s="1635" t="s">
        <v>546</v>
      </c>
      <c r="C28" s="1638"/>
      <c r="D28" s="490">
        <v>4597515</v>
      </c>
      <c r="E28" s="491">
        <v>4597515</v>
      </c>
      <c r="F28" s="491">
        <v>4597515</v>
      </c>
      <c r="G28" s="491">
        <v>4597515</v>
      </c>
      <c r="H28" s="491">
        <v>4597515</v>
      </c>
      <c r="I28" s="491">
        <v>4651215</v>
      </c>
      <c r="J28" s="488">
        <f t="shared" si="0"/>
        <v>1.0116802229030248</v>
      </c>
      <c r="K28" s="490">
        <v>4597515</v>
      </c>
      <c r="L28" s="491">
        <v>4597515</v>
      </c>
      <c r="M28" s="491">
        <v>4597515</v>
      </c>
      <c r="N28" s="491">
        <v>4597515</v>
      </c>
      <c r="O28" s="491">
        <v>4597515</v>
      </c>
      <c r="P28" s="491">
        <v>4651215</v>
      </c>
      <c r="Q28" s="488">
        <f t="shared" si="2"/>
        <v>1.0116802229030248</v>
      </c>
      <c r="R28" s="490"/>
      <c r="S28" s="491"/>
      <c r="T28" s="491"/>
      <c r="U28" s="491"/>
      <c r="V28" s="491"/>
      <c r="W28" s="491"/>
      <c r="X28" s="492"/>
    </row>
    <row r="29" spans="1:24" ht="31.5" customHeight="1" hidden="1">
      <c r="A29" s="30">
        <v>21</v>
      </c>
      <c r="B29" s="1635" t="s">
        <v>526</v>
      </c>
      <c r="C29" s="1636"/>
      <c r="D29" s="737"/>
      <c r="E29" s="738"/>
      <c r="F29" s="738"/>
      <c r="G29" s="738"/>
      <c r="H29" s="738"/>
      <c r="I29" s="738"/>
      <c r="J29" s="488" t="e">
        <f t="shared" si="0"/>
        <v>#DIV/0!</v>
      </c>
      <c r="K29" s="737"/>
      <c r="L29" s="738"/>
      <c r="M29" s="738"/>
      <c r="N29" s="738"/>
      <c r="O29" s="738"/>
      <c r="P29" s="738"/>
      <c r="Q29" s="488" t="e">
        <f t="shared" si="2"/>
        <v>#DIV/0!</v>
      </c>
      <c r="R29" s="737"/>
      <c r="S29" s="738"/>
      <c r="T29" s="738"/>
      <c r="U29" s="738"/>
      <c r="V29" s="738"/>
      <c r="W29" s="738"/>
      <c r="X29" s="739"/>
    </row>
    <row r="30" spans="1:24" ht="31.5" customHeight="1" hidden="1">
      <c r="A30" s="30">
        <v>22</v>
      </c>
      <c r="B30" s="1635" t="s">
        <v>501</v>
      </c>
      <c r="C30" s="1636"/>
      <c r="D30" s="737"/>
      <c r="E30" s="738"/>
      <c r="F30" s="738"/>
      <c r="G30" s="738"/>
      <c r="H30" s="738"/>
      <c r="I30" s="738"/>
      <c r="J30" s="488" t="e">
        <f t="shared" si="0"/>
        <v>#DIV/0!</v>
      </c>
      <c r="K30" s="737"/>
      <c r="L30" s="738"/>
      <c r="M30" s="738"/>
      <c r="N30" s="738"/>
      <c r="O30" s="738"/>
      <c r="P30" s="738"/>
      <c r="Q30" s="488" t="e">
        <f t="shared" si="2"/>
        <v>#DIV/0!</v>
      </c>
      <c r="R30" s="737"/>
      <c r="S30" s="738"/>
      <c r="T30" s="738"/>
      <c r="U30" s="738"/>
      <c r="V30" s="738"/>
      <c r="W30" s="738"/>
      <c r="X30" s="739"/>
    </row>
    <row r="31" spans="1:24" ht="31.5" customHeight="1" hidden="1">
      <c r="A31" s="30">
        <v>23</v>
      </c>
      <c r="B31" s="1635" t="s">
        <v>592</v>
      </c>
      <c r="C31" s="1636"/>
      <c r="D31" s="737"/>
      <c r="E31" s="738"/>
      <c r="F31" s="738"/>
      <c r="G31" s="738"/>
      <c r="H31" s="738"/>
      <c r="I31" s="738"/>
      <c r="J31" s="488" t="e">
        <f t="shared" si="0"/>
        <v>#DIV/0!</v>
      </c>
      <c r="K31" s="737"/>
      <c r="L31" s="738"/>
      <c r="M31" s="738"/>
      <c r="N31" s="738"/>
      <c r="O31" s="738"/>
      <c r="P31" s="738"/>
      <c r="Q31" s="488" t="e">
        <f t="shared" si="2"/>
        <v>#DIV/0!</v>
      </c>
      <c r="R31" s="737"/>
      <c r="S31" s="738"/>
      <c r="T31" s="738"/>
      <c r="U31" s="738"/>
      <c r="V31" s="738"/>
      <c r="W31" s="738"/>
      <c r="X31" s="739"/>
    </row>
    <row r="32" spans="1:24" ht="31.5" customHeight="1" hidden="1">
      <c r="A32" s="30">
        <v>24</v>
      </c>
      <c r="B32" s="1635" t="s">
        <v>593</v>
      </c>
      <c r="C32" s="1636"/>
      <c r="D32" s="737"/>
      <c r="E32" s="738"/>
      <c r="F32" s="738"/>
      <c r="G32" s="738"/>
      <c r="H32" s="738"/>
      <c r="I32" s="738"/>
      <c r="J32" s="488" t="e">
        <f t="shared" si="0"/>
        <v>#DIV/0!</v>
      </c>
      <c r="K32" s="737"/>
      <c r="L32" s="738"/>
      <c r="M32" s="738"/>
      <c r="N32" s="738"/>
      <c r="O32" s="738"/>
      <c r="P32" s="738"/>
      <c r="Q32" s="488" t="e">
        <f t="shared" si="2"/>
        <v>#DIV/0!</v>
      </c>
      <c r="R32" s="737"/>
      <c r="S32" s="738"/>
      <c r="T32" s="738"/>
      <c r="U32" s="738"/>
      <c r="V32" s="738"/>
      <c r="W32" s="738"/>
      <c r="X32" s="739"/>
    </row>
    <row r="33" spans="1:24" ht="31.5" customHeight="1" hidden="1">
      <c r="A33" s="30">
        <v>25</v>
      </c>
      <c r="B33" s="1635"/>
      <c r="C33" s="1636"/>
      <c r="D33" s="737"/>
      <c r="E33" s="738"/>
      <c r="F33" s="738"/>
      <c r="G33" s="738"/>
      <c r="H33" s="738"/>
      <c r="I33" s="738"/>
      <c r="J33" s="488" t="e">
        <f t="shared" si="0"/>
        <v>#DIV/0!</v>
      </c>
      <c r="K33" s="737"/>
      <c r="L33" s="738"/>
      <c r="M33" s="738"/>
      <c r="N33" s="738"/>
      <c r="O33" s="738"/>
      <c r="P33" s="738"/>
      <c r="Q33" s="488" t="e">
        <f t="shared" si="2"/>
        <v>#DIV/0!</v>
      </c>
      <c r="R33" s="737"/>
      <c r="S33" s="738"/>
      <c r="T33" s="738"/>
      <c r="U33" s="738"/>
      <c r="V33" s="738"/>
      <c r="W33" s="738"/>
      <c r="X33" s="739"/>
    </row>
    <row r="34" spans="1:24" ht="31.5" customHeight="1" hidden="1">
      <c r="A34" s="30">
        <v>26</v>
      </c>
      <c r="B34" s="1635"/>
      <c r="C34" s="1636"/>
      <c r="D34" s="737"/>
      <c r="E34" s="738"/>
      <c r="F34" s="738"/>
      <c r="G34" s="738"/>
      <c r="H34" s="738"/>
      <c r="I34" s="738"/>
      <c r="J34" s="488" t="e">
        <f t="shared" si="0"/>
        <v>#DIV/0!</v>
      </c>
      <c r="K34" s="737"/>
      <c r="L34" s="738"/>
      <c r="M34" s="738"/>
      <c r="N34" s="738"/>
      <c r="O34" s="738"/>
      <c r="P34" s="738"/>
      <c r="Q34" s="488" t="e">
        <f t="shared" si="2"/>
        <v>#DIV/0!</v>
      </c>
      <c r="R34" s="737"/>
      <c r="S34" s="738"/>
      <c r="T34" s="738"/>
      <c r="U34" s="738"/>
      <c r="V34" s="738"/>
      <c r="W34" s="738"/>
      <c r="X34" s="739"/>
    </row>
    <row r="35" spans="1:24" ht="27.75" customHeight="1">
      <c r="A35" s="30">
        <v>27</v>
      </c>
      <c r="B35" s="1635" t="s">
        <v>390</v>
      </c>
      <c r="C35" s="1638"/>
      <c r="D35" s="490">
        <v>5165400</v>
      </c>
      <c r="E35" s="491">
        <v>5165400</v>
      </c>
      <c r="F35" s="491">
        <v>5165400</v>
      </c>
      <c r="G35" s="491">
        <v>5165400</v>
      </c>
      <c r="H35" s="491">
        <v>5165400</v>
      </c>
      <c r="I35" s="491">
        <v>4705240</v>
      </c>
      <c r="J35" s="488">
        <f t="shared" si="0"/>
        <v>0.9109149339838154</v>
      </c>
      <c r="K35" s="490">
        <v>5165400</v>
      </c>
      <c r="L35" s="491">
        <v>5165400</v>
      </c>
      <c r="M35" s="491">
        <v>5165400</v>
      </c>
      <c r="N35" s="491">
        <v>5165400</v>
      </c>
      <c r="O35" s="491">
        <v>5165400</v>
      </c>
      <c r="P35" s="491">
        <v>4705240</v>
      </c>
      <c r="Q35" s="488">
        <f t="shared" si="2"/>
        <v>0.9109149339838154</v>
      </c>
      <c r="R35" s="490"/>
      <c r="S35" s="491"/>
      <c r="T35" s="491"/>
      <c r="U35" s="491"/>
      <c r="V35" s="491"/>
      <c r="W35" s="491"/>
      <c r="X35" s="492"/>
    </row>
    <row r="36" spans="1:24" ht="27.75" customHeight="1">
      <c r="A36" s="30">
        <v>28</v>
      </c>
      <c r="B36" s="1635" t="s">
        <v>691</v>
      </c>
      <c r="C36" s="1638"/>
      <c r="D36" s="490"/>
      <c r="E36" s="491"/>
      <c r="F36" s="491"/>
      <c r="G36" s="491">
        <v>2057400</v>
      </c>
      <c r="H36" s="491">
        <v>4412810</v>
      </c>
      <c r="I36" s="491">
        <v>4412810</v>
      </c>
      <c r="J36" s="488">
        <f t="shared" si="0"/>
        <v>1</v>
      </c>
      <c r="K36" s="490"/>
      <c r="L36" s="491"/>
      <c r="M36" s="491"/>
      <c r="N36" s="491">
        <v>2057400</v>
      </c>
      <c r="O36" s="491">
        <v>4412810</v>
      </c>
      <c r="P36" s="491">
        <v>4412810</v>
      </c>
      <c r="Q36" s="488">
        <f t="shared" si="2"/>
        <v>1</v>
      </c>
      <c r="R36" s="490"/>
      <c r="S36" s="491"/>
      <c r="T36" s="491"/>
      <c r="U36" s="491"/>
      <c r="V36" s="491"/>
      <c r="W36" s="491"/>
      <c r="X36" s="492"/>
    </row>
    <row r="37" spans="1:24" ht="27.75" customHeight="1">
      <c r="A37" s="30">
        <v>29</v>
      </c>
      <c r="B37" s="1635" t="s">
        <v>669</v>
      </c>
      <c r="C37" s="1638"/>
      <c r="D37" s="490"/>
      <c r="E37" s="491"/>
      <c r="F37" s="491"/>
      <c r="G37" s="491">
        <v>4432000</v>
      </c>
      <c r="H37" s="491">
        <v>6063850</v>
      </c>
      <c r="I37" s="491">
        <v>3174900</v>
      </c>
      <c r="J37" s="488">
        <f t="shared" si="0"/>
        <v>0.5235782547391509</v>
      </c>
      <c r="K37" s="490"/>
      <c r="L37" s="491"/>
      <c r="M37" s="491"/>
      <c r="N37" s="491">
        <v>4432000</v>
      </c>
      <c r="O37" s="491">
        <v>6063850</v>
      </c>
      <c r="P37" s="491">
        <v>3174900</v>
      </c>
      <c r="Q37" s="488">
        <f t="shared" si="2"/>
        <v>0.5235782547391509</v>
      </c>
      <c r="R37" s="490"/>
      <c r="S37" s="491"/>
      <c r="T37" s="491"/>
      <c r="U37" s="491"/>
      <c r="V37" s="491"/>
      <c r="W37" s="491"/>
      <c r="X37" s="492"/>
    </row>
    <row r="38" spans="1:24" ht="27.75" customHeight="1">
      <c r="A38" s="30">
        <v>30</v>
      </c>
      <c r="B38" s="1635" t="s">
        <v>688</v>
      </c>
      <c r="C38" s="1638"/>
      <c r="D38" s="490"/>
      <c r="E38" s="491"/>
      <c r="F38" s="491"/>
      <c r="G38" s="491"/>
      <c r="H38" s="491">
        <v>464818</v>
      </c>
      <c r="I38" s="491">
        <v>464818</v>
      </c>
      <c r="J38" s="488">
        <f t="shared" si="0"/>
        <v>1</v>
      </c>
      <c r="K38" s="490"/>
      <c r="L38" s="491"/>
      <c r="M38" s="491"/>
      <c r="N38" s="491"/>
      <c r="O38" s="491">
        <v>464818</v>
      </c>
      <c r="P38" s="491">
        <v>464818</v>
      </c>
      <c r="Q38" s="488">
        <f t="shared" si="2"/>
        <v>1</v>
      </c>
      <c r="R38" s="490"/>
      <c r="S38" s="491"/>
      <c r="T38" s="491"/>
      <c r="U38" s="491"/>
      <c r="V38" s="491"/>
      <c r="W38" s="491"/>
      <c r="X38" s="492"/>
    </row>
    <row r="39" spans="1:24" ht="27.75" customHeight="1">
      <c r="A39" s="30">
        <v>31</v>
      </c>
      <c r="B39" s="1635" t="s">
        <v>689</v>
      </c>
      <c r="C39" s="1638"/>
      <c r="D39" s="490"/>
      <c r="E39" s="491"/>
      <c r="F39" s="491"/>
      <c r="G39" s="491"/>
      <c r="H39" s="491">
        <v>114624</v>
      </c>
      <c r="I39" s="491">
        <v>114624</v>
      </c>
      <c r="J39" s="488">
        <f t="shared" si="0"/>
        <v>1</v>
      </c>
      <c r="K39" s="490"/>
      <c r="L39" s="491"/>
      <c r="M39" s="491"/>
      <c r="N39" s="491"/>
      <c r="O39" s="491">
        <v>114624</v>
      </c>
      <c r="P39" s="491">
        <v>114624</v>
      </c>
      <c r="Q39" s="488">
        <f t="shared" si="2"/>
        <v>1</v>
      </c>
      <c r="R39" s="490"/>
      <c r="S39" s="491"/>
      <c r="T39" s="491"/>
      <c r="U39" s="491"/>
      <c r="V39" s="491"/>
      <c r="W39" s="491"/>
      <c r="X39" s="492"/>
    </row>
    <row r="40" spans="1:24" ht="27.75" customHeight="1" thickBot="1">
      <c r="A40" s="30">
        <v>32</v>
      </c>
      <c r="B40" s="1635" t="s">
        <v>690</v>
      </c>
      <c r="C40" s="1638"/>
      <c r="D40" s="490"/>
      <c r="E40" s="491"/>
      <c r="F40" s="491"/>
      <c r="G40" s="491"/>
      <c r="H40" s="491">
        <v>6198000</v>
      </c>
      <c r="I40" s="491">
        <v>0</v>
      </c>
      <c r="J40" s="488">
        <f t="shared" si="0"/>
        <v>0</v>
      </c>
      <c r="K40" s="490"/>
      <c r="L40" s="491"/>
      <c r="M40" s="491"/>
      <c r="N40" s="491"/>
      <c r="O40" s="491">
        <v>6198000</v>
      </c>
      <c r="P40" s="491">
        <v>0</v>
      </c>
      <c r="Q40" s="488">
        <f t="shared" si="2"/>
        <v>0</v>
      </c>
      <c r="R40" s="490"/>
      <c r="S40" s="491"/>
      <c r="T40" s="491"/>
      <c r="U40" s="491"/>
      <c r="V40" s="491"/>
      <c r="W40" s="491"/>
      <c r="X40" s="492"/>
    </row>
    <row r="41" spans="1:24" ht="31.5" customHeight="1" hidden="1" thickBot="1">
      <c r="A41" s="30"/>
      <c r="B41" s="1635"/>
      <c r="C41" s="1638"/>
      <c r="D41" s="490"/>
      <c r="E41" s="491"/>
      <c r="F41" s="491"/>
      <c r="G41" s="491"/>
      <c r="H41" s="491"/>
      <c r="I41" s="491"/>
      <c r="J41" s="488"/>
      <c r="K41" s="490"/>
      <c r="L41" s="491"/>
      <c r="M41" s="491"/>
      <c r="N41" s="491"/>
      <c r="O41" s="491"/>
      <c r="P41" s="491"/>
      <c r="Q41" s="488"/>
      <c r="R41" s="490"/>
      <c r="S41" s="491"/>
      <c r="T41" s="491"/>
      <c r="U41" s="491"/>
      <c r="V41" s="491"/>
      <c r="W41" s="491"/>
      <c r="X41" s="492"/>
    </row>
    <row r="42" spans="1:24" ht="32.25" customHeight="1" thickBot="1">
      <c r="A42" s="493"/>
      <c r="B42" s="1634" t="s">
        <v>370</v>
      </c>
      <c r="C42" s="1634"/>
      <c r="D42" s="494">
        <f>SUM(D8:D35)</f>
        <v>101654785</v>
      </c>
      <c r="E42" s="495">
        <f>SUM(E8:E35)</f>
        <v>102011785</v>
      </c>
      <c r="F42" s="495">
        <f>SUM(F8:F35)</f>
        <v>113123389</v>
      </c>
      <c r="G42" s="495">
        <f>SUM(G8:G38)</f>
        <v>118627169</v>
      </c>
      <c r="H42" s="495">
        <f>SUM(H8:H41)</f>
        <v>244159097</v>
      </c>
      <c r="I42" s="495">
        <f>SUM(I8:I40)</f>
        <v>95949134</v>
      </c>
      <c r="J42" s="496">
        <f>+I42/H42</f>
        <v>0.3929779196390131</v>
      </c>
      <c r="K42" s="494">
        <f>SUM(K8:K35)</f>
        <v>55860707</v>
      </c>
      <c r="L42" s="495">
        <f>SUM(L8:L35)</f>
        <v>56217707</v>
      </c>
      <c r="M42" s="495">
        <f>SUM(M8:M35)</f>
        <v>67329311</v>
      </c>
      <c r="N42" s="495">
        <f>SUM(N8:N37)</f>
        <v>73953091</v>
      </c>
      <c r="O42" s="495">
        <f>SUM(O8:O40)</f>
        <v>199431319</v>
      </c>
      <c r="P42" s="495">
        <f>SUM(P8:P40)</f>
        <v>62959255</v>
      </c>
      <c r="Q42" s="496">
        <f>+P42/O42</f>
        <v>0.31569392067250984</v>
      </c>
      <c r="R42" s="494">
        <f>SUM(R8:R35)</f>
        <v>45794078</v>
      </c>
      <c r="S42" s="495">
        <f>SUM(S8:S35)</f>
        <v>45794078</v>
      </c>
      <c r="T42" s="495">
        <f>SUM(T8:T35)</f>
        <v>45794078</v>
      </c>
      <c r="U42" s="495">
        <f>SUM(U8:U35)</f>
        <v>44674078</v>
      </c>
      <c r="V42" s="495">
        <f>SUM(V8:V40)</f>
        <v>44727778</v>
      </c>
      <c r="W42" s="495">
        <f>SUM(W8:W40)</f>
        <v>32989879</v>
      </c>
      <c r="X42" s="496">
        <f>V42/U42</f>
        <v>1.0012020393571412</v>
      </c>
    </row>
    <row r="43" spans="4:9" ht="12.75">
      <c r="D43" s="683" t="str">
        <f>IF(D42='4.sz.m.ÖNK kiadás'!E9," ","HIBA-nem egyenlő"=D18)</f>
        <v> </v>
      </c>
      <c r="G43" s="730"/>
      <c r="H43" s="730"/>
      <c r="I43" s="730"/>
    </row>
    <row r="44" spans="4:19" ht="12.75">
      <c r="D44" s="288"/>
      <c r="E44" s="288"/>
      <c r="F44" s="288"/>
      <c r="G44" s="288"/>
      <c r="H44" s="8"/>
      <c r="I44" s="288"/>
      <c r="J44" s="8"/>
      <c r="K44" s="8"/>
      <c r="L44" s="8"/>
      <c r="R44" s="8"/>
      <c r="S44" s="8"/>
    </row>
    <row r="45" spans="4:19" ht="12.75">
      <c r="D45" s="288"/>
      <c r="E45" s="8"/>
      <c r="F45" s="8"/>
      <c r="G45" s="8"/>
      <c r="H45" s="28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4:19" ht="12.75">
      <c r="D46" s="8"/>
      <c r="E46" s="8"/>
      <c r="F46" s="8"/>
      <c r="G46" s="8"/>
      <c r="H46" s="288"/>
      <c r="I46" s="28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4:19" ht="12.7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4:19" ht="12.7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4:19" ht="12.7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4:19" ht="12.7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4:19" ht="12.7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4:19" ht="12.7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4:19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4:19" ht="12.7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4:19" ht="12.7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4:19" ht="12.7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4:19" ht="12.7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4:19" ht="12.7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4:19" ht="12.7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</sheetData>
  <sheetProtection/>
  <mergeCells count="44">
    <mergeCell ref="B6:C6"/>
    <mergeCell ref="D6:J6"/>
    <mergeCell ref="K6:Q6"/>
    <mergeCell ref="R6:X6"/>
    <mergeCell ref="A2:X2"/>
    <mergeCell ref="B13:C13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24:C24"/>
    <mergeCell ref="B23:C23"/>
    <mergeCell ref="B19:C19"/>
    <mergeCell ref="B22:C22"/>
    <mergeCell ref="B20:C20"/>
    <mergeCell ref="B21:C21"/>
    <mergeCell ref="B25:C25"/>
    <mergeCell ref="B29:C29"/>
    <mergeCell ref="B35:C35"/>
    <mergeCell ref="B33:C33"/>
    <mergeCell ref="B26:C26"/>
    <mergeCell ref="B27:C27"/>
    <mergeCell ref="B36:C36"/>
    <mergeCell ref="B28:C28"/>
    <mergeCell ref="B38:C38"/>
    <mergeCell ref="B39:C39"/>
    <mergeCell ref="B41:C41"/>
    <mergeCell ref="B40:C40"/>
    <mergeCell ref="A3:X3"/>
    <mergeCell ref="A4:X4"/>
    <mergeCell ref="K1:X1"/>
    <mergeCell ref="B42:C42"/>
    <mergeCell ref="B30:C30"/>
    <mergeCell ref="B34:C34"/>
    <mergeCell ref="B31:C31"/>
    <mergeCell ref="B32:C32"/>
    <mergeCell ref="R5:X5"/>
    <mergeCell ref="B37:C3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8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60" zoomScaleNormal="70" workbookViewId="0" topLeftCell="A1">
      <selection activeCell="A15" sqref="A15"/>
    </sheetView>
  </sheetViews>
  <sheetFormatPr defaultColWidth="9.140625" defaultRowHeight="12.75"/>
  <cols>
    <col min="1" max="1" width="50.28125" style="10" customWidth="1"/>
    <col min="2" max="2" width="13.28125" style="10" customWidth="1"/>
    <col min="3" max="3" width="22.57421875" style="19" customWidth="1"/>
    <col min="4" max="6" width="17.00390625" style="19" hidden="1" customWidth="1"/>
    <col min="7" max="7" width="17.00390625" style="19" customWidth="1"/>
    <col min="8" max="8" width="18.00390625" style="19" customWidth="1"/>
    <col min="9" max="9" width="19.421875" style="19" customWidth="1"/>
    <col min="10" max="10" width="5.28125" style="19" hidden="1" customWidth="1"/>
    <col min="11" max="11" width="21.00390625" style="19" customWidth="1"/>
    <col min="12" max="14" width="17.00390625" style="19" hidden="1" customWidth="1"/>
    <col min="15" max="15" width="21.421875" style="19" customWidth="1"/>
    <col min="16" max="16" width="17.28125" style="19" customWidth="1"/>
    <col min="17" max="17" width="20.8515625" style="19" bestFit="1" customWidth="1"/>
    <col min="18" max="18" width="22.57421875" style="19" customWidth="1"/>
    <col min="19" max="19" width="17.28125" style="10" hidden="1" customWidth="1"/>
    <col min="20" max="20" width="17.421875" style="10" hidden="1" customWidth="1"/>
    <col min="21" max="21" width="18.28125" style="10" hidden="1" customWidth="1"/>
    <col min="22" max="22" width="18.421875" style="10" customWidth="1"/>
    <col min="23" max="23" width="14.421875" style="10" customWidth="1"/>
    <col min="24" max="24" width="16.140625" style="10" customWidth="1"/>
    <col min="25" max="25" width="17.7109375" style="10" customWidth="1"/>
    <col min="26" max="26" width="9.140625" style="10" customWidth="1"/>
    <col min="27" max="27" width="13.28125" style="10" bestFit="1" customWidth="1"/>
    <col min="28" max="28" width="15.57421875" style="10" bestFit="1" customWidth="1"/>
    <col min="29" max="16384" width="9.140625" style="10" customWidth="1"/>
  </cols>
  <sheetData>
    <row r="1" spans="11:22" ht="24.75" customHeight="1">
      <c r="K1" s="1669" t="s">
        <v>1018</v>
      </c>
      <c r="L1" s="1669"/>
      <c r="M1" s="1669"/>
      <c r="N1" s="1669"/>
      <c r="O1" s="1669"/>
      <c r="P1" s="1669"/>
      <c r="Q1" s="1669"/>
      <c r="R1" s="1669"/>
      <c r="S1" s="1669"/>
      <c r="T1" s="1669"/>
      <c r="U1" s="1669"/>
      <c r="V1" s="1669"/>
    </row>
    <row r="2" spans="1:24" ht="37.5" customHeight="1">
      <c r="A2" s="1671" t="s">
        <v>371</v>
      </c>
      <c r="B2" s="1671"/>
      <c r="C2" s="1671"/>
      <c r="D2" s="1671"/>
      <c r="E2" s="1671"/>
      <c r="F2" s="1671"/>
      <c r="G2" s="1671"/>
      <c r="H2" s="1671"/>
      <c r="I2" s="1671"/>
      <c r="J2" s="1671"/>
      <c r="K2" s="1671"/>
      <c r="L2" s="1671"/>
      <c r="M2" s="1671"/>
      <c r="N2" s="1671"/>
      <c r="O2" s="1671"/>
      <c r="P2" s="1671"/>
      <c r="Q2" s="1671"/>
      <c r="R2" s="1671"/>
      <c r="S2" s="1671"/>
      <c r="T2" s="1671"/>
      <c r="U2" s="1671"/>
      <c r="V2" s="1671"/>
      <c r="W2" s="1671"/>
      <c r="X2" s="1671"/>
    </row>
    <row r="3" spans="1:24" ht="18.75" customHeight="1">
      <c r="A3" s="1672" t="s">
        <v>618</v>
      </c>
      <c r="B3" s="1672"/>
      <c r="C3" s="1672"/>
      <c r="D3" s="1672"/>
      <c r="E3" s="1672"/>
      <c r="F3" s="1672"/>
      <c r="G3" s="1672"/>
      <c r="H3" s="1672"/>
      <c r="I3" s="1672"/>
      <c r="J3" s="1672"/>
      <c r="K3" s="1672"/>
      <c r="L3" s="1672"/>
      <c r="M3" s="1672"/>
      <c r="N3" s="1672"/>
      <c r="O3" s="1672"/>
      <c r="P3" s="1672"/>
      <c r="Q3" s="1672"/>
      <c r="R3" s="1672"/>
      <c r="S3" s="1672"/>
      <c r="T3" s="1672"/>
      <c r="U3" s="1672"/>
      <c r="V3" s="1672"/>
      <c r="W3" s="1672"/>
      <c r="X3" s="1672"/>
    </row>
    <row r="4" spans="1:24" ht="15.75">
      <c r="A4" s="1673" t="s">
        <v>372</v>
      </c>
      <c r="B4" s="1673"/>
      <c r="C4" s="1673"/>
      <c r="D4" s="1673"/>
      <c r="E4" s="1673"/>
      <c r="F4" s="1673"/>
      <c r="G4" s="1673"/>
      <c r="H4" s="1673"/>
      <c r="I4" s="1673"/>
      <c r="J4" s="1673"/>
      <c r="K4" s="1673"/>
      <c r="L4" s="1673"/>
      <c r="M4" s="1673"/>
      <c r="N4" s="1673"/>
      <c r="O4" s="1673"/>
      <c r="P4" s="1673"/>
      <c r="Q4" s="1673"/>
      <c r="R4" s="1673"/>
      <c r="S4" s="1673"/>
      <c r="T4" s="1673"/>
      <c r="U4" s="1673"/>
      <c r="V4" s="1673"/>
      <c r="W4" s="1673"/>
      <c r="X4" s="1673"/>
    </row>
    <row r="5" spans="1:24" ht="19.5" thickBot="1">
      <c r="A5" s="497"/>
      <c r="B5" s="497"/>
      <c r="R5" s="1670" t="s">
        <v>434</v>
      </c>
      <c r="S5" s="1670"/>
      <c r="T5" s="1670"/>
      <c r="U5" s="1670"/>
      <c r="V5" s="1670"/>
      <c r="W5" s="1670"/>
      <c r="X5" s="1670"/>
    </row>
    <row r="6" spans="1:25" ht="19.5" customHeight="1">
      <c r="A6" s="1651" t="s">
        <v>480</v>
      </c>
      <c r="B6" s="1654" t="s">
        <v>374</v>
      </c>
      <c r="C6" s="1657" t="s">
        <v>4</v>
      </c>
      <c r="D6" s="1658"/>
      <c r="E6" s="1658"/>
      <c r="F6" s="1658"/>
      <c r="G6" s="1658"/>
      <c r="H6" s="1658"/>
      <c r="I6" s="1658"/>
      <c r="J6" s="1659"/>
      <c r="K6" s="1657" t="s">
        <v>375</v>
      </c>
      <c r="L6" s="1658"/>
      <c r="M6" s="1658"/>
      <c r="N6" s="1658"/>
      <c r="O6" s="1658"/>
      <c r="P6" s="1658"/>
      <c r="Q6" s="1659"/>
      <c r="R6" s="1657" t="s">
        <v>25</v>
      </c>
      <c r="S6" s="1658"/>
      <c r="T6" s="1658"/>
      <c r="U6" s="1658"/>
      <c r="V6" s="1658"/>
      <c r="W6" s="1658"/>
      <c r="X6" s="1666"/>
      <c r="Y6" s="498"/>
    </row>
    <row r="7" spans="1:25" ht="12.75" customHeight="1">
      <c r="A7" s="1652"/>
      <c r="B7" s="1655"/>
      <c r="C7" s="1660"/>
      <c r="D7" s="1661"/>
      <c r="E7" s="1661"/>
      <c r="F7" s="1661"/>
      <c r="G7" s="1661"/>
      <c r="H7" s="1661"/>
      <c r="I7" s="1661"/>
      <c r="J7" s="1662"/>
      <c r="K7" s="1660"/>
      <c r="L7" s="1661"/>
      <c r="M7" s="1661"/>
      <c r="N7" s="1661"/>
      <c r="O7" s="1661"/>
      <c r="P7" s="1661"/>
      <c r="Q7" s="1662"/>
      <c r="R7" s="1660"/>
      <c r="S7" s="1661"/>
      <c r="T7" s="1661"/>
      <c r="U7" s="1661"/>
      <c r="V7" s="1661"/>
      <c r="W7" s="1661"/>
      <c r="X7" s="1667"/>
      <c r="Y7" s="500"/>
    </row>
    <row r="8" spans="1:25" ht="20.25" customHeight="1" thickBot="1">
      <c r="A8" s="1653"/>
      <c r="B8" s="1656"/>
      <c r="C8" s="1663"/>
      <c r="D8" s="1664"/>
      <c r="E8" s="1664"/>
      <c r="F8" s="1664"/>
      <c r="G8" s="1664"/>
      <c r="H8" s="1664"/>
      <c r="I8" s="1664"/>
      <c r="J8" s="1665"/>
      <c r="K8" s="1663"/>
      <c r="L8" s="1664"/>
      <c r="M8" s="1664"/>
      <c r="N8" s="1664"/>
      <c r="O8" s="1664"/>
      <c r="P8" s="1664"/>
      <c r="Q8" s="1665"/>
      <c r="R8" s="1663"/>
      <c r="S8" s="1664"/>
      <c r="T8" s="1664"/>
      <c r="U8" s="1664"/>
      <c r="V8" s="1664"/>
      <c r="W8" s="1664"/>
      <c r="X8" s="1668"/>
      <c r="Y8" s="500"/>
    </row>
    <row r="9" spans="1:25" ht="57" thickTop="1">
      <c r="A9" s="501"/>
      <c r="B9" s="499"/>
      <c r="C9" s="502" t="s">
        <v>64</v>
      </c>
      <c r="D9" s="502" t="s">
        <v>225</v>
      </c>
      <c r="E9" s="502" t="s">
        <v>228</v>
      </c>
      <c r="F9" s="502" t="s">
        <v>230</v>
      </c>
      <c r="G9" s="502" t="s">
        <v>242</v>
      </c>
      <c r="H9" s="503" t="s">
        <v>233</v>
      </c>
      <c r="I9" s="503" t="s">
        <v>234</v>
      </c>
      <c r="J9" s="503" t="s">
        <v>234</v>
      </c>
      <c r="K9" s="502" t="s">
        <v>64</v>
      </c>
      <c r="L9" s="502" t="s">
        <v>225</v>
      </c>
      <c r="M9" s="502" t="s">
        <v>228</v>
      </c>
      <c r="N9" s="502" t="s">
        <v>230</v>
      </c>
      <c r="O9" s="503" t="s">
        <v>242</v>
      </c>
      <c r="P9" s="503" t="s">
        <v>233</v>
      </c>
      <c r="Q9" s="503" t="s">
        <v>234</v>
      </c>
      <c r="R9" s="502" t="s">
        <v>64</v>
      </c>
      <c r="S9" s="502" t="s">
        <v>225</v>
      </c>
      <c r="T9" s="502" t="s">
        <v>228</v>
      </c>
      <c r="U9" s="502" t="s">
        <v>230</v>
      </c>
      <c r="V9" s="503" t="s">
        <v>242</v>
      </c>
      <c r="W9" s="503" t="s">
        <v>233</v>
      </c>
      <c r="X9" s="503" t="s">
        <v>234</v>
      </c>
      <c r="Y9" s="500"/>
    </row>
    <row r="10" spans="1:25" ht="27" customHeight="1">
      <c r="A10" s="505" t="s">
        <v>481</v>
      </c>
      <c r="B10" s="506" t="s">
        <v>206</v>
      </c>
      <c r="C10" s="507">
        <v>100000</v>
      </c>
      <c r="D10" s="507">
        <v>100000</v>
      </c>
      <c r="E10" s="507">
        <v>100000</v>
      </c>
      <c r="F10" s="507">
        <v>100000</v>
      </c>
      <c r="G10" s="507"/>
      <c r="H10" s="507">
        <v>0</v>
      </c>
      <c r="I10" s="507"/>
      <c r="J10" s="509"/>
      <c r="K10" s="507"/>
      <c r="L10" s="507"/>
      <c r="M10" s="507"/>
      <c r="N10" s="507"/>
      <c r="O10" s="508"/>
      <c r="P10" s="507"/>
      <c r="Q10" s="509"/>
      <c r="R10" s="507">
        <v>100000</v>
      </c>
      <c r="S10" s="507">
        <v>100000</v>
      </c>
      <c r="T10" s="507">
        <f aca="true" t="shared" si="0" ref="T10:V14">E10-M10</f>
        <v>100000</v>
      </c>
      <c r="U10" s="507">
        <f t="shared" si="0"/>
        <v>100000</v>
      </c>
      <c r="V10" s="507">
        <f t="shared" si="0"/>
        <v>0</v>
      </c>
      <c r="W10" s="507">
        <v>0</v>
      </c>
      <c r="X10" s="507"/>
      <c r="Y10" s="500"/>
    </row>
    <row r="11" spans="1:25" ht="27.75" customHeight="1">
      <c r="A11" s="505" t="s">
        <v>482</v>
      </c>
      <c r="B11" s="506" t="s">
        <v>206</v>
      </c>
      <c r="C11" s="507">
        <v>500000</v>
      </c>
      <c r="D11" s="507">
        <v>500000</v>
      </c>
      <c r="E11" s="507">
        <v>500000</v>
      </c>
      <c r="F11" s="507">
        <v>500000</v>
      </c>
      <c r="G11" s="507">
        <v>620000</v>
      </c>
      <c r="H11" s="507">
        <v>620000</v>
      </c>
      <c r="I11" s="953">
        <f>+H11/G11</f>
        <v>1</v>
      </c>
      <c r="J11" s="509"/>
      <c r="K11" s="507"/>
      <c r="L11" s="507"/>
      <c r="M11" s="507"/>
      <c r="N11" s="507"/>
      <c r="O11" s="507"/>
      <c r="P11" s="507"/>
      <c r="Q11" s="509"/>
      <c r="R11" s="507">
        <v>500000</v>
      </c>
      <c r="S11" s="507">
        <v>500000</v>
      </c>
      <c r="T11" s="507">
        <f t="shared" si="0"/>
        <v>500000</v>
      </c>
      <c r="U11" s="507">
        <f t="shared" si="0"/>
        <v>500000</v>
      </c>
      <c r="V11" s="507">
        <f t="shared" si="0"/>
        <v>620000</v>
      </c>
      <c r="W11" s="507">
        <v>620000</v>
      </c>
      <c r="X11" s="953">
        <f>+W11/V11</f>
        <v>1</v>
      </c>
      <c r="Y11" s="500"/>
    </row>
    <row r="12" spans="1:25" ht="27" customHeight="1" hidden="1">
      <c r="A12" s="505" t="s">
        <v>376</v>
      </c>
      <c r="B12" s="506" t="s">
        <v>205</v>
      </c>
      <c r="C12" s="507"/>
      <c r="D12" s="507"/>
      <c r="E12" s="507"/>
      <c r="F12" s="507"/>
      <c r="G12" s="507"/>
      <c r="H12" s="507"/>
      <c r="I12" s="953" t="e">
        <f aca="true" t="shared" si="1" ref="I12:I21">+H12/G12</f>
        <v>#DIV/0!</v>
      </c>
      <c r="J12" s="509"/>
      <c r="K12" s="507"/>
      <c r="L12" s="507"/>
      <c r="M12" s="507"/>
      <c r="N12" s="507"/>
      <c r="O12" s="507"/>
      <c r="P12" s="507"/>
      <c r="Q12" s="510"/>
      <c r="R12" s="507"/>
      <c r="S12" s="507"/>
      <c r="T12" s="507">
        <f t="shared" si="0"/>
        <v>0</v>
      </c>
      <c r="U12" s="507">
        <f t="shared" si="0"/>
        <v>0</v>
      </c>
      <c r="V12" s="507">
        <f t="shared" si="0"/>
        <v>0</v>
      </c>
      <c r="W12" s="507"/>
      <c r="X12" s="953" t="e">
        <f>+W12/V12</f>
        <v>#DIV/0!</v>
      </c>
      <c r="Y12" s="500"/>
    </row>
    <row r="13" spans="1:27" ht="28.5" customHeight="1">
      <c r="A13" s="505" t="s">
        <v>483</v>
      </c>
      <c r="B13" s="506" t="s">
        <v>206</v>
      </c>
      <c r="C13" s="507">
        <f>150000+500000+500000</f>
        <v>1150000</v>
      </c>
      <c r="D13" s="507">
        <f>150000+500000+500000</f>
        <v>1150000</v>
      </c>
      <c r="E13" s="507">
        <f>150000+500000+500000</f>
        <v>1150000</v>
      </c>
      <c r="F13" s="507">
        <f>150000+500000+500000</f>
        <v>1150000</v>
      </c>
      <c r="G13" s="507">
        <v>1150000</v>
      </c>
      <c r="H13" s="507">
        <v>1133000</v>
      </c>
      <c r="I13" s="953">
        <f t="shared" si="1"/>
        <v>0.9852173913043478</v>
      </c>
      <c r="J13" s="509"/>
      <c r="K13" s="507"/>
      <c r="L13" s="507"/>
      <c r="M13" s="507"/>
      <c r="N13" s="507"/>
      <c r="O13" s="507"/>
      <c r="P13" s="507"/>
      <c r="Q13" s="510"/>
      <c r="R13" s="507">
        <f>150000+500000+500000</f>
        <v>1150000</v>
      </c>
      <c r="S13" s="507">
        <f>150000+500000+500000</f>
        <v>1150000</v>
      </c>
      <c r="T13" s="507">
        <f t="shared" si="0"/>
        <v>1150000</v>
      </c>
      <c r="U13" s="507">
        <f t="shared" si="0"/>
        <v>1150000</v>
      </c>
      <c r="V13" s="507">
        <f t="shared" si="0"/>
        <v>1150000</v>
      </c>
      <c r="W13" s="507">
        <v>1133000</v>
      </c>
      <c r="X13" s="953">
        <f>+W13/V13</f>
        <v>0.9852173913043478</v>
      </c>
      <c r="Y13" s="500"/>
      <c r="AA13" s="19"/>
    </row>
    <row r="14" spans="1:25" ht="32.25" customHeight="1">
      <c r="A14" s="505" t="s">
        <v>484</v>
      </c>
      <c r="B14" s="506" t="s">
        <v>206</v>
      </c>
      <c r="C14" s="507">
        <v>500000</v>
      </c>
      <c r="D14" s="507">
        <v>500000</v>
      </c>
      <c r="E14" s="507">
        <v>500000</v>
      </c>
      <c r="F14" s="507">
        <v>500000</v>
      </c>
      <c r="G14" s="507">
        <f>500000-20000</f>
        <v>480000</v>
      </c>
      <c r="H14" s="507">
        <v>459634</v>
      </c>
      <c r="I14" s="953">
        <f t="shared" si="1"/>
        <v>0.9575708333333334</v>
      </c>
      <c r="J14" s="509"/>
      <c r="K14" s="507"/>
      <c r="L14" s="507"/>
      <c r="M14" s="507"/>
      <c r="N14" s="507"/>
      <c r="O14" s="507"/>
      <c r="P14" s="507"/>
      <c r="Q14" s="510"/>
      <c r="R14" s="507">
        <v>500000</v>
      </c>
      <c r="S14" s="507">
        <v>500000</v>
      </c>
      <c r="T14" s="507">
        <f t="shared" si="0"/>
        <v>500000</v>
      </c>
      <c r="U14" s="507">
        <f t="shared" si="0"/>
        <v>500000</v>
      </c>
      <c r="V14" s="507">
        <f t="shared" si="0"/>
        <v>480000</v>
      </c>
      <c r="W14" s="507">
        <v>459634</v>
      </c>
      <c r="X14" s="953">
        <f>+W14/V14</f>
        <v>0.9575708333333334</v>
      </c>
      <c r="Y14" s="500"/>
    </row>
    <row r="15" spans="1:25" ht="32.25" customHeight="1" thickBot="1">
      <c r="A15" s="505" t="s">
        <v>670</v>
      </c>
      <c r="B15" s="506"/>
      <c r="C15" s="507"/>
      <c r="D15" s="507"/>
      <c r="E15" s="507"/>
      <c r="F15" s="507">
        <v>1120000</v>
      </c>
      <c r="G15" s="507">
        <v>1120000</v>
      </c>
      <c r="H15" s="507">
        <v>1088000</v>
      </c>
      <c r="I15" s="953">
        <f t="shared" si="1"/>
        <v>0.9714285714285714</v>
      </c>
      <c r="J15" s="509"/>
      <c r="K15" s="507"/>
      <c r="L15" s="507"/>
      <c r="M15" s="507"/>
      <c r="N15" s="507">
        <v>1120000</v>
      </c>
      <c r="O15" s="507">
        <v>1120000</v>
      </c>
      <c r="P15" s="507">
        <v>1088000</v>
      </c>
      <c r="Q15" s="953">
        <f>+P15/O15</f>
        <v>0.9714285714285714</v>
      </c>
      <c r="R15" s="507"/>
      <c r="S15" s="507"/>
      <c r="T15" s="507"/>
      <c r="U15" s="507">
        <f>F15-N15</f>
        <v>0</v>
      </c>
      <c r="V15" s="507">
        <f>G15-O15</f>
        <v>0</v>
      </c>
      <c r="W15" s="507"/>
      <c r="X15" s="509"/>
      <c r="Y15" s="500"/>
    </row>
    <row r="16" spans="1:25" ht="33" customHeight="1" hidden="1">
      <c r="A16" s="505" t="s">
        <v>485</v>
      </c>
      <c r="B16" s="506" t="s">
        <v>206</v>
      </c>
      <c r="C16" s="512"/>
      <c r="D16" s="512"/>
      <c r="E16" s="512"/>
      <c r="F16" s="512"/>
      <c r="G16" s="512"/>
      <c r="H16" s="512"/>
      <c r="I16" s="954" t="e">
        <f t="shared" si="1"/>
        <v>#DIV/0!</v>
      </c>
      <c r="J16" s="510"/>
      <c r="K16" s="512"/>
      <c r="L16" s="512"/>
      <c r="M16" s="512"/>
      <c r="N16" s="512"/>
      <c r="O16" s="512"/>
      <c r="P16" s="512"/>
      <c r="Q16" s="510"/>
      <c r="R16" s="507"/>
      <c r="S16" s="507"/>
      <c r="T16" s="507">
        <f>E16-M16</f>
        <v>0</v>
      </c>
      <c r="U16" s="507">
        <f>F16-N16</f>
        <v>0</v>
      </c>
      <c r="V16" s="507">
        <f>G16-O16</f>
        <v>0</v>
      </c>
      <c r="W16" s="512"/>
      <c r="X16" s="610"/>
      <c r="Y16" s="500"/>
    </row>
    <row r="17" spans="1:25" ht="33" customHeight="1" hidden="1" thickBot="1">
      <c r="A17" s="524" t="s">
        <v>426</v>
      </c>
      <c r="B17" s="618" t="s">
        <v>206</v>
      </c>
      <c r="C17" s="619"/>
      <c r="D17" s="619"/>
      <c r="E17" s="619"/>
      <c r="F17" s="619"/>
      <c r="G17" s="619"/>
      <c r="H17" s="619"/>
      <c r="I17" s="955" t="e">
        <f t="shared" si="1"/>
        <v>#DIV/0!</v>
      </c>
      <c r="J17" s="620"/>
      <c r="K17" s="619"/>
      <c r="L17" s="619"/>
      <c r="M17" s="619"/>
      <c r="N17" s="619"/>
      <c r="O17" s="619"/>
      <c r="P17" s="619"/>
      <c r="Q17" s="620"/>
      <c r="R17" s="512"/>
      <c r="S17" s="512"/>
      <c r="T17" s="507">
        <f>E17-M17</f>
        <v>0</v>
      </c>
      <c r="U17" s="512"/>
      <c r="V17" s="512"/>
      <c r="W17" s="619"/>
      <c r="X17" s="610"/>
      <c r="Y17" s="500"/>
    </row>
    <row r="18" spans="1:25" ht="33" customHeight="1" hidden="1" thickTop="1">
      <c r="A18" s="505" t="s">
        <v>436</v>
      </c>
      <c r="B18" s="506" t="s">
        <v>206</v>
      </c>
      <c r="C18" s="512"/>
      <c r="D18" s="512"/>
      <c r="E18" s="512"/>
      <c r="F18" s="512"/>
      <c r="G18" s="512"/>
      <c r="H18" s="512"/>
      <c r="I18" s="954" t="e">
        <f t="shared" si="1"/>
        <v>#DIV/0!</v>
      </c>
      <c r="J18" s="510"/>
      <c r="K18" s="512"/>
      <c r="L18" s="512"/>
      <c r="M18" s="512"/>
      <c r="N18" s="512"/>
      <c r="O18" s="512"/>
      <c r="P18" s="512"/>
      <c r="Q18" s="510"/>
      <c r="R18" s="512"/>
      <c r="S18" s="512"/>
      <c r="T18" s="512"/>
      <c r="U18" s="512"/>
      <c r="V18" s="512"/>
      <c r="W18" s="512"/>
      <c r="X18" s="610"/>
      <c r="Y18" s="622"/>
    </row>
    <row r="19" spans="1:25" ht="33" customHeight="1" hidden="1">
      <c r="A19" s="664" t="s">
        <v>426</v>
      </c>
      <c r="B19" s="525" t="s">
        <v>206</v>
      </c>
      <c r="C19" s="665"/>
      <c r="D19" s="665"/>
      <c r="E19" s="665"/>
      <c r="F19" s="665"/>
      <c r="G19" s="665"/>
      <c r="H19" s="665"/>
      <c r="I19" s="956" t="e">
        <f t="shared" si="1"/>
        <v>#DIV/0!</v>
      </c>
      <c r="J19" s="666"/>
      <c r="K19" s="665"/>
      <c r="L19" s="665"/>
      <c r="M19" s="665"/>
      <c r="N19" s="665"/>
      <c r="O19" s="665"/>
      <c r="P19" s="665"/>
      <c r="Q19" s="666"/>
      <c r="R19" s="665"/>
      <c r="S19" s="665"/>
      <c r="T19" s="665"/>
      <c r="U19" s="665"/>
      <c r="V19" s="665"/>
      <c r="W19" s="665"/>
      <c r="X19" s="610"/>
      <c r="Y19" s="622"/>
    </row>
    <row r="20" spans="1:25" ht="33" customHeight="1" hidden="1" thickBot="1">
      <c r="A20" s="524" t="s">
        <v>528</v>
      </c>
      <c r="B20" s="618" t="s">
        <v>206</v>
      </c>
      <c r="C20" s="619"/>
      <c r="D20" s="619"/>
      <c r="E20" s="619"/>
      <c r="F20" s="619"/>
      <c r="G20" s="619"/>
      <c r="H20" s="619"/>
      <c r="I20" s="955" t="e">
        <f t="shared" si="1"/>
        <v>#DIV/0!</v>
      </c>
      <c r="J20" s="620"/>
      <c r="K20" s="619"/>
      <c r="L20" s="619"/>
      <c r="M20" s="619"/>
      <c r="N20" s="619"/>
      <c r="O20" s="619"/>
      <c r="P20" s="619"/>
      <c r="Q20" s="620"/>
      <c r="R20" s="619"/>
      <c r="S20" s="619"/>
      <c r="T20" s="619"/>
      <c r="U20" s="619"/>
      <c r="V20" s="619"/>
      <c r="W20" s="619"/>
      <c r="X20" s="610"/>
      <c r="Y20" s="622"/>
    </row>
    <row r="21" spans="1:25" ht="39" customHeight="1" thickBot="1" thickTop="1">
      <c r="A21" s="513" t="s">
        <v>20</v>
      </c>
      <c r="B21" s="514"/>
      <c r="C21" s="515">
        <f aca="true" t="shared" si="2" ref="C21:H21">SUM(C10:C18)</f>
        <v>2250000</v>
      </c>
      <c r="D21" s="515">
        <f t="shared" si="2"/>
        <v>2250000</v>
      </c>
      <c r="E21" s="515">
        <f t="shared" si="2"/>
        <v>2250000</v>
      </c>
      <c r="F21" s="515">
        <f t="shared" si="2"/>
        <v>3370000</v>
      </c>
      <c r="G21" s="515">
        <f t="shared" si="2"/>
        <v>3370000</v>
      </c>
      <c r="H21" s="515">
        <f t="shared" si="2"/>
        <v>3300634</v>
      </c>
      <c r="I21" s="957">
        <f t="shared" si="1"/>
        <v>0.9794166172106825</v>
      </c>
      <c r="J21" s="515">
        <f aca="true" t="shared" si="3" ref="J21:O21">SUM(J10:J18)</f>
        <v>0</v>
      </c>
      <c r="K21" s="515">
        <f t="shared" si="3"/>
        <v>0</v>
      </c>
      <c r="L21" s="515">
        <f t="shared" si="3"/>
        <v>0</v>
      </c>
      <c r="M21" s="515">
        <f t="shared" si="3"/>
        <v>0</v>
      </c>
      <c r="N21" s="515">
        <f t="shared" si="3"/>
        <v>1120000</v>
      </c>
      <c r="O21" s="515">
        <f t="shared" si="3"/>
        <v>1120000</v>
      </c>
      <c r="P21" s="515">
        <f>SUM(P10:P18)</f>
        <v>1088000</v>
      </c>
      <c r="Q21" s="957">
        <f>+P21/O21</f>
        <v>0.9714285714285714</v>
      </c>
      <c r="R21" s="515">
        <f>SUM(R10:R18)</f>
        <v>2250000</v>
      </c>
      <c r="S21" s="515">
        <f>SUM(S10:S18)</f>
        <v>2250000</v>
      </c>
      <c r="T21" s="515">
        <f>SUM(T10:T18)</f>
        <v>2250000</v>
      </c>
      <c r="U21" s="515">
        <f>SUM(U10:U18)</f>
        <v>2250000</v>
      </c>
      <c r="V21" s="515">
        <f>SUM(V10:V18)</f>
        <v>2250000</v>
      </c>
      <c r="W21" s="515">
        <f>SUM(W10:W20)</f>
        <v>2212634</v>
      </c>
      <c r="X21" s="516">
        <f>V21/S21</f>
        <v>1</v>
      </c>
      <c r="Y21" s="622"/>
    </row>
    <row r="22" spans="1:25" ht="19.5" customHeight="1">
      <c r="A22" s="517"/>
      <c r="B22" s="517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W22" s="19"/>
      <c r="Y22" s="519"/>
    </row>
    <row r="23" spans="1:18" ht="66" customHeight="1" hidden="1" thickBot="1">
      <c r="A23" s="1650" t="s">
        <v>377</v>
      </c>
      <c r="B23" s="1650"/>
      <c r="C23" s="1650"/>
      <c r="D23" s="1650"/>
      <c r="E23" s="1650"/>
      <c r="F23" s="1650"/>
      <c r="G23" s="1650"/>
      <c r="H23" s="1650"/>
      <c r="I23" s="1650"/>
      <c r="J23" s="1650"/>
      <c r="K23" s="1650"/>
      <c r="L23" s="1650"/>
      <c r="M23" s="1650"/>
      <c r="N23" s="1650"/>
      <c r="O23" s="1650"/>
      <c r="P23" s="1650"/>
      <c r="Q23" s="1650"/>
      <c r="R23" s="1650"/>
    </row>
    <row r="24" spans="1:25" ht="19.5" customHeight="1" hidden="1">
      <c r="A24" s="1651" t="s">
        <v>373</v>
      </c>
      <c r="B24" s="1654" t="s">
        <v>374</v>
      </c>
      <c r="C24" s="1657" t="s">
        <v>4</v>
      </c>
      <c r="D24" s="1658"/>
      <c r="E24" s="1658"/>
      <c r="F24" s="1658"/>
      <c r="G24" s="1658"/>
      <c r="H24" s="1658"/>
      <c r="I24" s="1658"/>
      <c r="J24" s="1659"/>
      <c r="K24" s="1657" t="s">
        <v>375</v>
      </c>
      <c r="L24" s="1658"/>
      <c r="M24" s="1658"/>
      <c r="N24" s="1658"/>
      <c r="O24" s="1658"/>
      <c r="P24" s="1658"/>
      <c r="Q24" s="1659"/>
      <c r="R24" s="1657" t="s">
        <v>25</v>
      </c>
      <c r="S24" s="1658"/>
      <c r="T24" s="1658"/>
      <c r="U24" s="1658"/>
      <c r="V24" s="1658"/>
      <c r="W24" s="1658"/>
      <c r="X24" s="1666"/>
      <c r="Y24" s="500"/>
    </row>
    <row r="25" spans="1:25" ht="19.5" customHeight="1" hidden="1">
      <c r="A25" s="1652"/>
      <c r="B25" s="1655"/>
      <c r="C25" s="1660"/>
      <c r="D25" s="1661"/>
      <c r="E25" s="1661"/>
      <c r="F25" s="1661"/>
      <c r="G25" s="1661"/>
      <c r="H25" s="1661"/>
      <c r="I25" s="1661"/>
      <c r="J25" s="1662"/>
      <c r="K25" s="1660"/>
      <c r="L25" s="1661"/>
      <c r="M25" s="1661"/>
      <c r="N25" s="1661"/>
      <c r="O25" s="1661"/>
      <c r="P25" s="1661"/>
      <c r="Q25" s="1662"/>
      <c r="R25" s="1660"/>
      <c r="S25" s="1661"/>
      <c r="T25" s="1661"/>
      <c r="U25" s="1661"/>
      <c r="V25" s="1661"/>
      <c r="W25" s="1661"/>
      <c r="X25" s="1667"/>
      <c r="Y25" s="500"/>
    </row>
    <row r="26" spans="1:25" ht="19.5" customHeight="1" hidden="1" thickBot="1">
      <c r="A26" s="1653"/>
      <c r="B26" s="1656"/>
      <c r="C26" s="1663"/>
      <c r="D26" s="1664"/>
      <c r="E26" s="1664"/>
      <c r="F26" s="1664"/>
      <c r="G26" s="1664"/>
      <c r="H26" s="1664"/>
      <c r="I26" s="1664"/>
      <c r="J26" s="1665"/>
      <c r="K26" s="1663"/>
      <c r="L26" s="1664"/>
      <c r="M26" s="1664"/>
      <c r="N26" s="1664"/>
      <c r="O26" s="1664"/>
      <c r="P26" s="1664"/>
      <c r="Q26" s="1665"/>
      <c r="R26" s="1663"/>
      <c r="S26" s="1664"/>
      <c r="T26" s="1664"/>
      <c r="U26" s="1664"/>
      <c r="V26" s="1664"/>
      <c r="W26" s="1664"/>
      <c r="X26" s="1668"/>
      <c r="Y26" s="500"/>
    </row>
    <row r="27" spans="1:25" ht="57.75" customHeight="1" hidden="1" thickTop="1">
      <c r="A27" s="520"/>
      <c r="B27" s="521"/>
      <c r="C27" s="503" t="s">
        <v>64</v>
      </c>
      <c r="D27" s="503" t="s">
        <v>225</v>
      </c>
      <c r="E27" s="503" t="s">
        <v>228</v>
      </c>
      <c r="F27" s="502" t="s">
        <v>230</v>
      </c>
      <c r="G27" s="502"/>
      <c r="H27" s="503" t="s">
        <v>242</v>
      </c>
      <c r="I27" s="503" t="s">
        <v>247</v>
      </c>
      <c r="J27" s="503" t="s">
        <v>234</v>
      </c>
      <c r="K27" s="503" t="s">
        <v>64</v>
      </c>
      <c r="L27" s="503" t="s">
        <v>225</v>
      </c>
      <c r="M27" s="503" t="s">
        <v>228</v>
      </c>
      <c r="N27" s="502" t="s">
        <v>230</v>
      </c>
      <c r="O27" s="503" t="s">
        <v>242</v>
      </c>
      <c r="P27" s="503" t="s">
        <v>247</v>
      </c>
      <c r="Q27" s="503" t="s">
        <v>234</v>
      </c>
      <c r="R27" s="503" t="s">
        <v>64</v>
      </c>
      <c r="S27" s="503" t="s">
        <v>225</v>
      </c>
      <c r="T27" s="503" t="s">
        <v>228</v>
      </c>
      <c r="U27" s="503" t="s">
        <v>230</v>
      </c>
      <c r="V27" s="503" t="s">
        <v>242</v>
      </c>
      <c r="W27" s="503" t="s">
        <v>247</v>
      </c>
      <c r="X27" s="504" t="s">
        <v>234</v>
      </c>
      <c r="Y27" s="500"/>
    </row>
    <row r="28" spans="1:25" ht="34.5" customHeight="1" hidden="1">
      <c r="A28" s="522" t="s">
        <v>505</v>
      </c>
      <c r="B28" s="523" t="s">
        <v>206</v>
      </c>
      <c r="C28" s="507"/>
      <c r="D28" s="507"/>
      <c r="E28" s="507"/>
      <c r="F28" s="507"/>
      <c r="G28" s="507"/>
      <c r="H28" s="507">
        <v>211000</v>
      </c>
      <c r="I28" s="507">
        <v>392000</v>
      </c>
      <c r="J28" s="509"/>
      <c r="K28" s="507"/>
      <c r="L28" s="507"/>
      <c r="M28" s="507"/>
      <c r="N28" s="507"/>
      <c r="O28" s="507">
        <v>211000</v>
      </c>
      <c r="P28" s="507">
        <v>392000</v>
      </c>
      <c r="Q28" s="509"/>
      <c r="R28" s="507"/>
      <c r="S28" s="507"/>
      <c r="T28" s="507"/>
      <c r="U28" s="507"/>
      <c r="V28" s="508"/>
      <c r="W28" s="508"/>
      <c r="X28" s="509" t="e">
        <f>V28/S28</f>
        <v>#DIV/0!</v>
      </c>
      <c r="Y28" s="500"/>
    </row>
    <row r="29" spans="1:25" ht="15" hidden="1">
      <c r="A29" s="505" t="s">
        <v>378</v>
      </c>
      <c r="B29" s="506" t="s">
        <v>206</v>
      </c>
      <c r="C29" s="507"/>
      <c r="D29" s="507"/>
      <c r="E29" s="507"/>
      <c r="F29" s="507"/>
      <c r="G29" s="507"/>
      <c r="H29" s="507"/>
      <c r="I29" s="507"/>
      <c r="J29" s="509"/>
      <c r="K29" s="507"/>
      <c r="L29" s="507"/>
      <c r="M29" s="507"/>
      <c r="N29" s="507"/>
      <c r="O29" s="507"/>
      <c r="P29" s="508"/>
      <c r="Q29" s="509"/>
      <c r="R29" s="508"/>
      <c r="S29" s="508"/>
      <c r="T29" s="508"/>
      <c r="U29" s="507"/>
      <c r="V29" s="507"/>
      <c r="W29" s="507"/>
      <c r="X29" s="509" t="e">
        <f>V29/S29</f>
        <v>#DIV/0!</v>
      </c>
      <c r="Y29" s="500"/>
    </row>
    <row r="30" spans="1:25" ht="30.75" customHeight="1" hidden="1">
      <c r="A30" s="505" t="s">
        <v>379</v>
      </c>
      <c r="B30" s="506" t="s">
        <v>206</v>
      </c>
      <c r="C30" s="507"/>
      <c r="D30" s="507"/>
      <c r="E30" s="507"/>
      <c r="F30" s="507"/>
      <c r="G30" s="507"/>
      <c r="H30" s="507"/>
      <c r="I30" s="507"/>
      <c r="J30" s="509"/>
      <c r="K30" s="507"/>
      <c r="L30" s="507"/>
      <c r="M30" s="507"/>
      <c r="N30" s="507"/>
      <c r="O30" s="507"/>
      <c r="P30" s="508"/>
      <c r="Q30" s="509"/>
      <c r="R30" s="508"/>
      <c r="S30" s="508"/>
      <c r="T30" s="508"/>
      <c r="U30" s="507"/>
      <c r="V30" s="507"/>
      <c r="W30" s="507"/>
      <c r="X30" s="509" t="e">
        <f>V30/S30</f>
        <v>#DIV/0!</v>
      </c>
      <c r="Y30" s="500"/>
    </row>
    <row r="31" spans="1:25" ht="31.5" customHeight="1" hidden="1">
      <c r="A31" s="505" t="s">
        <v>380</v>
      </c>
      <c r="B31" s="506" t="s">
        <v>206</v>
      </c>
      <c r="C31" s="507"/>
      <c r="D31" s="507"/>
      <c r="E31" s="507"/>
      <c r="F31" s="507"/>
      <c r="G31" s="507"/>
      <c r="H31" s="507"/>
      <c r="I31" s="507"/>
      <c r="J31" s="509"/>
      <c r="K31" s="507"/>
      <c r="L31" s="507"/>
      <c r="M31" s="507"/>
      <c r="N31" s="507"/>
      <c r="O31" s="507"/>
      <c r="P31" s="507"/>
      <c r="Q31" s="509"/>
      <c r="R31" s="508"/>
      <c r="S31" s="508"/>
      <c r="T31" s="508"/>
      <c r="U31" s="507"/>
      <c r="V31" s="507"/>
      <c r="W31" s="507"/>
      <c r="X31" s="509" t="e">
        <f>V31/S31</f>
        <v>#DIV/0!</v>
      </c>
      <c r="Y31" s="500"/>
    </row>
    <row r="32" spans="1:25" ht="31.5" customHeight="1" hidden="1">
      <c r="A32" s="505" t="s">
        <v>381</v>
      </c>
      <c r="B32" s="506" t="s">
        <v>206</v>
      </c>
      <c r="C32" s="512"/>
      <c r="D32" s="512"/>
      <c r="E32" s="512"/>
      <c r="F32" s="512"/>
      <c r="G32" s="512"/>
      <c r="H32" s="512"/>
      <c r="I32" s="512"/>
      <c r="J32" s="511" t="e">
        <f>H32/E32</f>
        <v>#DIV/0!</v>
      </c>
      <c r="K32" s="512"/>
      <c r="L32" s="512"/>
      <c r="M32" s="512"/>
      <c r="N32" s="512"/>
      <c r="O32" s="512"/>
      <c r="P32" s="613"/>
      <c r="Q32" s="511" t="e">
        <f>O32/M32</f>
        <v>#DIV/0!</v>
      </c>
      <c r="R32" s="512"/>
      <c r="S32" s="512"/>
      <c r="T32" s="512"/>
      <c r="U32" s="512"/>
      <c r="V32" s="512">
        <f>H32-O32</f>
        <v>0</v>
      </c>
      <c r="W32" s="613"/>
      <c r="X32" s="511" t="e">
        <f>V32/T32</f>
        <v>#DIV/0!</v>
      </c>
      <c r="Y32" s="500"/>
    </row>
    <row r="33" spans="1:25" ht="27.75" customHeight="1" hidden="1">
      <c r="A33" s="505" t="s">
        <v>382</v>
      </c>
      <c r="B33" s="506" t="s">
        <v>206</v>
      </c>
      <c r="C33" s="512"/>
      <c r="D33" s="512"/>
      <c r="E33" s="512"/>
      <c r="F33" s="512"/>
      <c r="G33" s="512"/>
      <c r="H33" s="512"/>
      <c r="I33" s="512"/>
      <c r="J33" s="511">
        <v>0</v>
      </c>
      <c r="K33" s="512"/>
      <c r="L33" s="512"/>
      <c r="M33" s="512"/>
      <c r="N33" s="512"/>
      <c r="O33" s="512"/>
      <c r="P33" s="613"/>
      <c r="Q33" s="511">
        <v>0</v>
      </c>
      <c r="R33" s="512"/>
      <c r="S33" s="512"/>
      <c r="T33" s="512"/>
      <c r="U33" s="512"/>
      <c r="V33" s="512">
        <f>H33-O33</f>
        <v>0</v>
      </c>
      <c r="W33" s="613"/>
      <c r="X33" s="511">
        <v>0</v>
      </c>
      <c r="Y33" s="500"/>
    </row>
    <row r="34" spans="1:25" ht="33" customHeight="1" hidden="1" thickBot="1">
      <c r="A34" s="524" t="s">
        <v>383</v>
      </c>
      <c r="B34" s="525" t="s">
        <v>206</v>
      </c>
      <c r="C34" s="526"/>
      <c r="D34" s="526"/>
      <c r="E34" s="526"/>
      <c r="F34" s="526"/>
      <c r="G34" s="526"/>
      <c r="H34" s="526"/>
      <c r="I34" s="526"/>
      <c r="J34" s="511">
        <v>0</v>
      </c>
      <c r="K34" s="526"/>
      <c r="L34" s="526"/>
      <c r="M34" s="526"/>
      <c r="N34" s="526"/>
      <c r="O34" s="526"/>
      <c r="P34" s="614"/>
      <c r="Q34" s="511">
        <v>0</v>
      </c>
      <c r="R34" s="526"/>
      <c r="S34" s="526"/>
      <c r="T34" s="526"/>
      <c r="U34" s="526"/>
      <c r="V34" s="526">
        <f>H34-O34</f>
        <v>0</v>
      </c>
      <c r="W34" s="614"/>
      <c r="X34" s="511">
        <v>0</v>
      </c>
      <c r="Y34" s="500"/>
    </row>
    <row r="35" spans="1:25" ht="33" customHeight="1" hidden="1" thickBot="1" thickTop="1">
      <c r="A35" s="527"/>
      <c r="B35" s="528"/>
      <c r="C35" s="529"/>
      <c r="D35" s="529"/>
      <c r="E35" s="529"/>
      <c r="F35" s="529"/>
      <c r="G35" s="529"/>
      <c r="H35" s="529"/>
      <c r="I35" s="529"/>
      <c r="J35" s="511">
        <v>0</v>
      </c>
      <c r="K35" s="529"/>
      <c r="L35" s="529"/>
      <c r="M35" s="529"/>
      <c r="N35" s="529"/>
      <c r="O35" s="529"/>
      <c r="P35" s="615"/>
      <c r="Q35" s="511">
        <v>0</v>
      </c>
      <c r="R35" s="529"/>
      <c r="S35" s="529"/>
      <c r="T35" s="529"/>
      <c r="U35" s="529"/>
      <c r="V35" s="529">
        <f>H35-O35</f>
        <v>0</v>
      </c>
      <c r="W35" s="615"/>
      <c r="X35" s="511">
        <v>0</v>
      </c>
      <c r="Y35" s="500"/>
    </row>
    <row r="36" spans="1:25" ht="33" customHeight="1" hidden="1" thickBot="1" thickTop="1">
      <c r="A36" s="513" t="s">
        <v>20</v>
      </c>
      <c r="B36" s="514"/>
      <c r="C36" s="515">
        <f aca="true" t="shared" si="4" ref="C36:I36">SUM(C28:C34)</f>
        <v>0</v>
      </c>
      <c r="D36" s="515">
        <f t="shared" si="4"/>
        <v>0</v>
      </c>
      <c r="E36" s="515">
        <f t="shared" si="4"/>
        <v>0</v>
      </c>
      <c r="F36" s="515">
        <f t="shared" si="4"/>
        <v>0</v>
      </c>
      <c r="G36" s="515"/>
      <c r="H36" s="515">
        <f t="shared" si="4"/>
        <v>211000</v>
      </c>
      <c r="I36" s="515">
        <f t="shared" si="4"/>
        <v>392000</v>
      </c>
      <c r="J36" s="516" t="e">
        <f>H36/D36</f>
        <v>#DIV/0!</v>
      </c>
      <c r="K36" s="515">
        <f aca="true" t="shared" si="5" ref="K36:P36">SUM(K28:K34)</f>
        <v>0</v>
      </c>
      <c r="L36" s="515">
        <f t="shared" si="5"/>
        <v>0</v>
      </c>
      <c r="M36" s="515">
        <f t="shared" si="5"/>
        <v>0</v>
      </c>
      <c r="N36" s="515">
        <f t="shared" si="5"/>
        <v>0</v>
      </c>
      <c r="O36" s="515">
        <f t="shared" si="5"/>
        <v>211000</v>
      </c>
      <c r="P36" s="515">
        <f t="shared" si="5"/>
        <v>392000</v>
      </c>
      <c r="Q36" s="516" t="e">
        <f>O36/L36</f>
        <v>#DIV/0!</v>
      </c>
      <c r="R36" s="515">
        <f aca="true" t="shared" si="6" ref="R36:W36">SUM(R28:R34)</f>
        <v>0</v>
      </c>
      <c r="S36" s="515">
        <f t="shared" si="6"/>
        <v>0</v>
      </c>
      <c r="T36" s="515">
        <f t="shared" si="6"/>
        <v>0</v>
      </c>
      <c r="U36" s="515">
        <f t="shared" si="6"/>
        <v>0</v>
      </c>
      <c r="V36" s="515">
        <f t="shared" si="6"/>
        <v>0</v>
      </c>
      <c r="W36" s="515">
        <f t="shared" si="6"/>
        <v>0</v>
      </c>
      <c r="X36" s="516" t="e">
        <f>V36/S36</f>
        <v>#DIV/0!</v>
      </c>
      <c r="Y36" s="500"/>
    </row>
    <row r="39" ht="12.75">
      <c r="L39" s="530"/>
    </row>
    <row r="40" ht="12.75">
      <c r="L40" s="530"/>
    </row>
    <row r="41" ht="12.75">
      <c r="L41" s="530"/>
    </row>
    <row r="42" ht="12.75">
      <c r="L42" s="530"/>
    </row>
  </sheetData>
  <sheetProtection/>
  <mergeCells count="16">
    <mergeCell ref="K1:V1"/>
    <mergeCell ref="A6:A8"/>
    <mergeCell ref="B6:B8"/>
    <mergeCell ref="C6:J8"/>
    <mergeCell ref="K6:Q8"/>
    <mergeCell ref="R6:X8"/>
    <mergeCell ref="R5:X5"/>
    <mergeCell ref="A2:X2"/>
    <mergeCell ref="A3:X3"/>
    <mergeCell ref="A4:X4"/>
    <mergeCell ref="A23:R23"/>
    <mergeCell ref="A24:A26"/>
    <mergeCell ref="B24:B26"/>
    <mergeCell ref="C24:J26"/>
    <mergeCell ref="K24:Q26"/>
    <mergeCell ref="R24:X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6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9"/>
  <sheetViews>
    <sheetView view="pageBreakPreview" zoomScale="60" zoomScaleNormal="70" workbookViewId="0" topLeftCell="B79">
      <selection activeCell="AC59" sqref="AC59"/>
    </sheetView>
  </sheetViews>
  <sheetFormatPr defaultColWidth="9.140625" defaultRowHeight="12.75"/>
  <cols>
    <col min="1" max="1" width="53.00390625" style="237" customWidth="1"/>
    <col min="2" max="2" width="17.140625" style="8" bestFit="1" customWidth="1"/>
    <col min="3" max="3" width="17.140625" style="8" hidden="1" customWidth="1"/>
    <col min="4" max="5" width="16.421875" style="8" hidden="1" customWidth="1"/>
    <col min="6" max="6" width="15.7109375" style="8" customWidth="1"/>
    <col min="7" max="8" width="16.00390625" style="8" customWidth="1"/>
    <col min="9" max="9" width="17.140625" style="8" customWidth="1"/>
    <col min="10" max="10" width="15.57421875" style="8" hidden="1" customWidth="1"/>
    <col min="11" max="11" width="15.7109375" style="8" hidden="1" customWidth="1"/>
    <col min="12" max="12" width="15.00390625" style="8" hidden="1" customWidth="1"/>
    <col min="13" max="13" width="17.421875" style="8" customWidth="1"/>
    <col min="14" max="14" width="17.28125" style="8" customWidth="1"/>
    <col min="15" max="15" width="14.57421875" style="8" customWidth="1"/>
    <col min="16" max="16" width="13.421875" style="8" hidden="1" customWidth="1"/>
    <col min="17" max="17" width="16.7109375" style="8" customWidth="1"/>
    <col min="18" max="18" width="8.421875" style="8" hidden="1" customWidth="1"/>
    <col min="19" max="19" width="10.140625" style="8" hidden="1" customWidth="1"/>
    <col min="20" max="20" width="11.7109375" style="8" hidden="1" customWidth="1"/>
    <col min="21" max="23" width="11.57421875" style="8" customWidth="1"/>
    <col min="24" max="24" width="17.57421875" style="8" customWidth="1"/>
    <col min="25" max="25" width="13.8515625" style="8" hidden="1" customWidth="1"/>
    <col min="26" max="26" width="14.8515625" style="8" hidden="1" customWidth="1"/>
    <col min="27" max="27" width="14.421875" style="8" hidden="1" customWidth="1"/>
    <col min="28" max="28" width="14.7109375" style="8" customWidth="1"/>
    <col min="29" max="29" width="14.421875" style="8" customWidth="1"/>
    <col min="30" max="30" width="15.421875" style="8" customWidth="1"/>
    <col min="31" max="31" width="15.28125" style="8" customWidth="1"/>
    <col min="32" max="16384" width="9.140625" style="8" customWidth="1"/>
  </cols>
  <sheetData>
    <row r="1" spans="17:30" ht="12.75" customHeight="1">
      <c r="Q1" s="1674" t="s">
        <v>1019</v>
      </c>
      <c r="R1" s="1674"/>
      <c r="S1" s="1674"/>
      <c r="T1" s="1674"/>
      <c r="U1" s="1674"/>
      <c r="V1" s="1674"/>
      <c r="W1" s="1674"/>
      <c r="X1" s="1674"/>
      <c r="Y1" s="1674"/>
      <c r="Z1" s="1674"/>
      <c r="AA1" s="1674"/>
      <c r="AB1" s="1674"/>
      <c r="AC1" s="1674"/>
      <c r="AD1" s="1674"/>
    </row>
    <row r="2" spans="1:30" ht="18">
      <c r="A2" s="1701" t="s">
        <v>467</v>
      </c>
      <c r="B2" s="1701"/>
      <c r="C2" s="1701"/>
      <c r="D2" s="1701"/>
      <c r="E2" s="1701"/>
      <c r="F2" s="1701"/>
      <c r="G2" s="1701"/>
      <c r="H2" s="1701"/>
      <c r="I2" s="1701"/>
      <c r="J2" s="1701"/>
      <c r="K2" s="1701"/>
      <c r="L2" s="1701"/>
      <c r="M2" s="1701"/>
      <c r="N2" s="1701"/>
      <c r="O2" s="1701"/>
      <c r="P2" s="1701"/>
      <c r="Q2" s="1701"/>
      <c r="R2" s="1701"/>
      <c r="S2" s="1701"/>
      <c r="T2" s="1701"/>
      <c r="U2" s="1701"/>
      <c r="V2" s="1701"/>
      <c r="W2" s="1701"/>
      <c r="X2" s="1701"/>
      <c r="Y2" s="1701"/>
      <c r="Z2" s="1701"/>
      <c r="AA2" s="1701"/>
      <c r="AB2" s="1701"/>
      <c r="AC2" s="1701"/>
      <c r="AD2" s="1701"/>
    </row>
    <row r="3" spans="1:30" ht="15.75">
      <c r="A3" s="1630" t="s">
        <v>618</v>
      </c>
      <c r="B3" s="1630"/>
      <c r="C3" s="1630"/>
      <c r="D3" s="1630"/>
      <c r="E3" s="1630"/>
      <c r="F3" s="1630"/>
      <c r="G3" s="1630"/>
      <c r="H3" s="1630"/>
      <c r="I3" s="1630"/>
      <c r="J3" s="1630"/>
      <c r="K3" s="1630"/>
      <c r="L3" s="1630"/>
      <c r="M3" s="1630"/>
      <c r="N3" s="1630"/>
      <c r="O3" s="1630"/>
      <c r="P3" s="1630"/>
      <c r="Q3" s="1630"/>
      <c r="R3" s="1630"/>
      <c r="S3" s="1630"/>
      <c r="T3" s="1630"/>
      <c r="U3" s="1630"/>
      <c r="V3" s="1630"/>
      <c r="W3" s="1630"/>
      <c r="X3" s="1630"/>
      <c r="Y3" s="1630"/>
      <c r="Z3" s="1630"/>
      <c r="AA3" s="1630"/>
      <c r="AB3" s="1630"/>
      <c r="AC3" s="1630"/>
      <c r="AD3" s="1630"/>
    </row>
    <row r="4" spans="1:30" ht="14.25">
      <c r="A4" s="1704" t="s">
        <v>193</v>
      </c>
      <c r="B4" s="1704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4"/>
      <c r="Y4" s="1704"/>
      <c r="Z4" s="1704"/>
      <c r="AA4" s="1704"/>
      <c r="AB4" s="1704"/>
      <c r="AC4" s="1704"/>
      <c r="AD4" s="1704"/>
    </row>
    <row r="5" spans="1:24" ht="14.25">
      <c r="A5" s="659"/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67"/>
      <c r="P5" s="659"/>
      <c r="Q5" s="659"/>
      <c r="R5" s="659"/>
      <c r="S5" s="659"/>
      <c r="T5" s="659"/>
      <c r="U5" s="659"/>
      <c r="V5" s="659"/>
      <c r="W5" s="659"/>
      <c r="X5" s="659"/>
    </row>
    <row r="6" spans="1:30" ht="18.75" thickBot="1">
      <c r="A6" s="661" t="s">
        <v>468</v>
      </c>
      <c r="X6" s="1625" t="s">
        <v>434</v>
      </c>
      <c r="Y6" s="1625"/>
      <c r="Z6" s="1625"/>
      <c r="AA6" s="1625"/>
      <c r="AB6" s="1625"/>
      <c r="AC6" s="1625"/>
      <c r="AD6" s="1625"/>
    </row>
    <row r="7" spans="1:31" ht="24.75" customHeight="1">
      <c r="A7" s="1692" t="s">
        <v>21</v>
      </c>
      <c r="B7" s="1694" t="s">
        <v>22</v>
      </c>
      <c r="C7" s="1695"/>
      <c r="D7" s="1695"/>
      <c r="E7" s="1695"/>
      <c r="F7" s="1695"/>
      <c r="G7" s="1695"/>
      <c r="H7" s="1695"/>
      <c r="I7" s="1695"/>
      <c r="J7" s="1695"/>
      <c r="K7" s="1695"/>
      <c r="L7" s="1695"/>
      <c r="M7" s="1695"/>
      <c r="N7" s="1695"/>
      <c r="O7" s="1695"/>
      <c r="P7" s="1695"/>
      <c r="Q7" s="1696" t="s">
        <v>23</v>
      </c>
      <c r="R7" s="1697"/>
      <c r="S7" s="1697"/>
      <c r="T7" s="1697"/>
      <c r="U7" s="1697"/>
      <c r="V7" s="1697"/>
      <c r="W7" s="1697"/>
      <c r="X7" s="1697"/>
      <c r="Y7" s="1697"/>
      <c r="Z7" s="1697"/>
      <c r="AA7" s="1697"/>
      <c r="AB7" s="1697"/>
      <c r="AC7" s="1694"/>
      <c r="AD7" s="1698"/>
      <c r="AE7" s="413"/>
    </row>
    <row r="8" spans="1:31" ht="24.75" customHeight="1">
      <c r="A8" s="1693"/>
      <c r="B8" s="1690" t="s">
        <v>62</v>
      </c>
      <c r="C8" s="1699"/>
      <c r="D8" s="1699"/>
      <c r="E8" s="1699"/>
      <c r="F8" s="1699"/>
      <c r="G8" s="1699"/>
      <c r="H8" s="1700"/>
      <c r="I8" s="1690" t="s">
        <v>63</v>
      </c>
      <c r="J8" s="1699"/>
      <c r="K8" s="1699"/>
      <c r="L8" s="1699"/>
      <c r="M8" s="1699"/>
      <c r="N8" s="1699"/>
      <c r="O8" s="1699"/>
      <c r="P8" s="1699"/>
      <c r="Q8" s="1703" t="s">
        <v>62</v>
      </c>
      <c r="R8" s="1689"/>
      <c r="S8" s="1689"/>
      <c r="T8" s="1689"/>
      <c r="U8" s="1689"/>
      <c r="V8" s="892"/>
      <c r="W8" s="892"/>
      <c r="X8" s="1689" t="s">
        <v>63</v>
      </c>
      <c r="Y8" s="1689"/>
      <c r="Z8" s="1689"/>
      <c r="AA8" s="1689"/>
      <c r="AB8" s="1689"/>
      <c r="AC8" s="1690"/>
      <c r="AD8" s="1691"/>
      <c r="AE8" s="413"/>
    </row>
    <row r="9" spans="1:31" ht="42" customHeight="1">
      <c r="A9" s="233"/>
      <c r="B9" s="234" t="s">
        <v>226</v>
      </c>
      <c r="C9" s="234" t="s">
        <v>224</v>
      </c>
      <c r="D9" s="414" t="s">
        <v>229</v>
      </c>
      <c r="E9" s="234" t="s">
        <v>231</v>
      </c>
      <c r="F9" s="234" t="s">
        <v>425</v>
      </c>
      <c r="G9" s="234" t="s">
        <v>392</v>
      </c>
      <c r="H9" s="234" t="s">
        <v>234</v>
      </c>
      <c r="I9" s="234" t="s">
        <v>226</v>
      </c>
      <c r="J9" s="600" t="s">
        <v>224</v>
      </c>
      <c r="K9" s="605" t="s">
        <v>229</v>
      </c>
      <c r="L9" s="606" t="s">
        <v>231</v>
      </c>
      <c r="M9" s="234" t="s">
        <v>425</v>
      </c>
      <c r="N9" s="234" t="s">
        <v>392</v>
      </c>
      <c r="O9" s="234" t="s">
        <v>234</v>
      </c>
      <c r="P9" s="606" t="s">
        <v>234</v>
      </c>
      <c r="Q9" s="601" t="s">
        <v>226</v>
      </c>
      <c r="R9" s="234" t="s">
        <v>224</v>
      </c>
      <c r="S9" s="414" t="s">
        <v>229</v>
      </c>
      <c r="T9" s="234" t="s">
        <v>231</v>
      </c>
      <c r="U9" s="234" t="s">
        <v>425</v>
      </c>
      <c r="V9" s="234"/>
      <c r="W9" s="234"/>
      <c r="X9" s="234" t="s">
        <v>226</v>
      </c>
      <c r="Y9" s="234" t="s">
        <v>224</v>
      </c>
      <c r="Z9" s="414" t="s">
        <v>229</v>
      </c>
      <c r="AA9" s="234" t="s">
        <v>231</v>
      </c>
      <c r="AB9" s="234" t="s">
        <v>425</v>
      </c>
      <c r="AC9" s="234" t="s">
        <v>392</v>
      </c>
      <c r="AD9" s="234" t="s">
        <v>234</v>
      </c>
      <c r="AE9" s="413"/>
    </row>
    <row r="10" spans="1:31" ht="18">
      <c r="A10" s="2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90"/>
      <c r="P10" s="573"/>
      <c r="Q10" s="291"/>
      <c r="R10" s="25"/>
      <c r="S10" s="25"/>
      <c r="T10" s="25"/>
      <c r="U10" s="25"/>
      <c r="V10" s="25"/>
      <c r="W10" s="25"/>
      <c r="X10" s="24"/>
      <c r="Y10" s="24"/>
      <c r="Z10" s="24"/>
      <c r="AA10" s="24"/>
      <c r="AB10" s="24"/>
      <c r="AC10" s="290"/>
      <c r="AD10" s="26"/>
      <c r="AE10" s="413"/>
    </row>
    <row r="11" spans="1:31" ht="18">
      <c r="A11" s="22" t="s">
        <v>550</v>
      </c>
      <c r="B11" s="24"/>
      <c r="C11" s="24"/>
      <c r="D11" s="24"/>
      <c r="E11" s="24"/>
      <c r="F11" s="24"/>
      <c r="G11" s="24"/>
      <c r="H11" s="24"/>
      <c r="I11" s="24">
        <v>6500000</v>
      </c>
      <c r="J11" s="24">
        <v>6500000</v>
      </c>
      <c r="K11" s="24">
        <v>6500000</v>
      </c>
      <c r="L11" s="24">
        <f>6500000+2000000</f>
        <v>8500000</v>
      </c>
      <c r="M11" s="24">
        <v>8500000</v>
      </c>
      <c r="N11" s="24">
        <v>8500000</v>
      </c>
      <c r="O11" s="573">
        <f aca="true" t="shared" si="0" ref="O11:O57">+N11/M11</f>
        <v>1</v>
      </c>
      <c r="P11" s="573"/>
      <c r="Q11" s="291"/>
      <c r="R11" s="25"/>
      <c r="S11" s="25"/>
      <c r="T11" s="25"/>
      <c r="U11" s="25"/>
      <c r="V11" s="25"/>
      <c r="W11" s="25"/>
      <c r="X11" s="24">
        <v>1200000</v>
      </c>
      <c r="Y11" s="24">
        <v>1200000</v>
      </c>
      <c r="Z11" s="24">
        <v>1200000</v>
      </c>
      <c r="AA11" s="24">
        <v>1200000</v>
      </c>
      <c r="AB11" s="24">
        <v>1200000</v>
      </c>
      <c r="AC11" s="24">
        <v>1200000</v>
      </c>
      <c r="AD11" s="573">
        <f>+AC11/AB11</f>
        <v>1</v>
      </c>
      <c r="AE11" s="413"/>
    </row>
    <row r="12" spans="1:31" ht="18" hidden="1">
      <c r="A12" s="22" t="s">
        <v>486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573" t="e">
        <f t="shared" si="0"/>
        <v>#DIV/0!</v>
      </c>
      <c r="P12" s="573"/>
      <c r="Q12" s="291"/>
      <c r="R12" s="25"/>
      <c r="S12" s="25"/>
      <c r="T12" s="25"/>
      <c r="U12" s="25"/>
      <c r="V12" s="25"/>
      <c r="W12" s="25"/>
      <c r="X12" s="24"/>
      <c r="Y12" s="24"/>
      <c r="Z12" s="24"/>
      <c r="AA12" s="24"/>
      <c r="AB12" s="24"/>
      <c r="AC12" s="24"/>
      <c r="AD12" s="26"/>
      <c r="AE12" s="413"/>
    </row>
    <row r="13" spans="1:31" ht="30.75" hidden="1">
      <c r="A13" s="22" t="s">
        <v>500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573" t="e">
        <f t="shared" si="0"/>
        <v>#DIV/0!</v>
      </c>
      <c r="P13" s="290"/>
      <c r="Q13" s="291"/>
      <c r="R13" s="25"/>
      <c r="S13" s="25"/>
      <c r="T13" s="25"/>
      <c r="U13" s="25"/>
      <c r="V13" s="25"/>
      <c r="W13" s="25"/>
      <c r="X13" s="24"/>
      <c r="Y13" s="24"/>
      <c r="Z13" s="24"/>
      <c r="AA13" s="24"/>
      <c r="AB13" s="24"/>
      <c r="AC13" s="24"/>
      <c r="AD13" s="26"/>
      <c r="AE13" s="413"/>
    </row>
    <row r="14" spans="1:31" ht="18" hidden="1">
      <c r="A14" s="22" t="s">
        <v>215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573" t="e">
        <f t="shared" si="0"/>
        <v>#DIV/0!</v>
      </c>
      <c r="P14" s="573"/>
      <c r="Q14" s="291"/>
      <c r="R14" s="25"/>
      <c r="S14" s="25"/>
      <c r="T14" s="25"/>
      <c r="U14" s="25"/>
      <c r="V14" s="25"/>
      <c r="W14" s="25"/>
      <c r="X14" s="24"/>
      <c r="Y14" s="24"/>
      <c r="Z14" s="24"/>
      <c r="AA14" s="24"/>
      <c r="AB14" s="24"/>
      <c r="AC14" s="24"/>
      <c r="AD14" s="26"/>
      <c r="AE14" s="413"/>
    </row>
    <row r="15" spans="1:31" ht="18" hidden="1">
      <c r="A15" s="22" t="s">
        <v>216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573" t="e">
        <f t="shared" si="0"/>
        <v>#DIV/0!</v>
      </c>
      <c r="P15" s="573"/>
      <c r="Q15" s="291"/>
      <c r="R15" s="25"/>
      <c r="S15" s="25"/>
      <c r="T15" s="25"/>
      <c r="U15" s="25"/>
      <c r="V15" s="25"/>
      <c r="W15" s="25"/>
      <c r="X15" s="24"/>
      <c r="Y15" s="24"/>
      <c r="Z15" s="24"/>
      <c r="AA15" s="24"/>
      <c r="AB15" s="24"/>
      <c r="AC15" s="24"/>
      <c r="AD15" s="26"/>
      <c r="AE15" s="413"/>
    </row>
    <row r="16" spans="1:31" ht="18">
      <c r="A16" s="22" t="s">
        <v>217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573"/>
      <c r="P16" s="573"/>
      <c r="Q16" s="291"/>
      <c r="R16" s="25"/>
      <c r="S16" s="25"/>
      <c r="T16" s="25"/>
      <c r="U16" s="25"/>
      <c r="V16" s="25"/>
      <c r="W16" s="25"/>
      <c r="X16" s="24">
        <v>5000000</v>
      </c>
      <c r="Y16" s="24">
        <v>5000000</v>
      </c>
      <c r="Z16" s="24">
        <v>5000000</v>
      </c>
      <c r="AA16" s="24">
        <f>5000000+850000</f>
        <v>5850000</v>
      </c>
      <c r="AB16" s="24">
        <v>6200000</v>
      </c>
      <c r="AC16" s="24">
        <v>6200000</v>
      </c>
      <c r="AD16" s="573">
        <f>+AC16/AB16</f>
        <v>1</v>
      </c>
      <c r="AE16" s="413"/>
    </row>
    <row r="17" spans="1:31" ht="33" customHeight="1">
      <c r="A17" s="22" t="s">
        <v>475</v>
      </c>
      <c r="B17" s="24"/>
      <c r="C17" s="24"/>
      <c r="D17" s="24"/>
      <c r="E17" s="24"/>
      <c r="F17" s="24"/>
      <c r="G17" s="24"/>
      <c r="H17" s="24"/>
      <c r="I17" s="24">
        <f>4100530+240495</f>
        <v>4341025</v>
      </c>
      <c r="J17" s="24">
        <f>4100530+240495</f>
        <v>4341025</v>
      </c>
      <c r="K17" s="24">
        <f>4100530+240495</f>
        <v>4341025</v>
      </c>
      <c r="L17" s="24">
        <f>4100530+240495</f>
        <v>4341025</v>
      </c>
      <c r="M17" s="24">
        <f>SUM(M19:M39)</f>
        <v>1403996</v>
      </c>
      <c r="N17" s="24">
        <f>SUM(N19:N39)</f>
        <v>1203996</v>
      </c>
      <c r="O17" s="573">
        <f t="shared" si="0"/>
        <v>0.8575494517078396</v>
      </c>
      <c r="P17" s="573"/>
      <c r="Q17" s="292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573"/>
      <c r="AE17" s="607"/>
    </row>
    <row r="18" spans="1:31" ht="17.25" customHeight="1">
      <c r="A18" s="472" t="s">
        <v>698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573"/>
      <c r="P18" s="290"/>
      <c r="Q18" s="292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6"/>
      <c r="AE18" s="413"/>
    </row>
    <row r="19" spans="1:31" ht="17.25" customHeight="1">
      <c r="A19" s="472" t="s">
        <v>522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>
        <v>414640</v>
      </c>
      <c r="N19" s="24">
        <v>414640</v>
      </c>
      <c r="O19" s="573">
        <f t="shared" si="0"/>
        <v>1</v>
      </c>
      <c r="P19" s="573"/>
      <c r="Q19" s="292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6"/>
      <c r="AE19" s="607"/>
    </row>
    <row r="20" spans="1:31" ht="17.25" customHeight="1">
      <c r="A20" s="472" t="s">
        <v>651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>
        <v>40000</v>
      </c>
      <c r="N20" s="24">
        <v>40000</v>
      </c>
      <c r="O20" s="573">
        <f t="shared" si="0"/>
        <v>1</v>
      </c>
      <c r="P20" s="573"/>
      <c r="Q20" s="292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6"/>
      <c r="AE20" s="413"/>
    </row>
    <row r="21" spans="1:31" ht="17.25" customHeight="1" hidden="1">
      <c r="A21" s="472" t="s">
        <v>351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573" t="e">
        <f t="shared" si="0"/>
        <v>#DIV/0!</v>
      </c>
      <c r="P21" s="573"/>
      <c r="Q21" s="292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6"/>
      <c r="AE21" s="413"/>
    </row>
    <row r="22" spans="1:31" ht="17.25" customHeight="1">
      <c r="A22" s="472" t="s">
        <v>352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>
        <v>131000</v>
      </c>
      <c r="N22" s="24">
        <v>131000</v>
      </c>
      <c r="O22" s="573">
        <f t="shared" si="0"/>
        <v>1</v>
      </c>
      <c r="P22" s="573"/>
      <c r="Q22" s="292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6"/>
      <c r="AE22" s="413"/>
    </row>
    <row r="23" spans="1:31" ht="31.5" customHeight="1">
      <c r="A23" s="472" t="s">
        <v>506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>
        <v>57000</v>
      </c>
      <c r="N23" s="24">
        <v>57000</v>
      </c>
      <c r="O23" s="573">
        <f t="shared" si="0"/>
        <v>1</v>
      </c>
      <c r="P23" s="573"/>
      <c r="Q23" s="292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6"/>
      <c r="AE23" s="413"/>
    </row>
    <row r="24" spans="1:31" ht="17.25" customHeight="1">
      <c r="A24" s="472" t="s">
        <v>356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>
        <v>15000</v>
      </c>
      <c r="N24" s="24">
        <v>15000</v>
      </c>
      <c r="O24" s="573">
        <f t="shared" si="0"/>
        <v>1</v>
      </c>
      <c r="P24" s="573"/>
      <c r="Q24" s="292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6"/>
      <c r="AE24" s="413"/>
    </row>
    <row r="25" spans="1:31" ht="30" customHeight="1" hidden="1">
      <c r="A25" s="472" t="s">
        <v>594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573" t="e">
        <f t="shared" si="0"/>
        <v>#DIV/0!</v>
      </c>
      <c r="P25" s="573"/>
      <c r="Q25" s="292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6"/>
      <c r="AE25" s="413"/>
    </row>
    <row r="26" spans="1:31" ht="30" customHeight="1">
      <c r="A26" s="472" t="s">
        <v>597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>
        <v>200000</v>
      </c>
      <c r="N26" s="24">
        <v>0</v>
      </c>
      <c r="O26" s="573">
        <f t="shared" si="0"/>
        <v>0</v>
      </c>
      <c r="P26" s="573"/>
      <c r="Q26" s="292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6"/>
      <c r="AE26" s="413"/>
    </row>
    <row r="27" spans="1:31" ht="17.25" customHeight="1" hidden="1">
      <c r="A27" s="472" t="s">
        <v>353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573" t="e">
        <f t="shared" si="0"/>
        <v>#DIV/0!</v>
      </c>
      <c r="P27" s="573"/>
      <c r="Q27" s="292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6"/>
      <c r="AE27" s="413"/>
    </row>
    <row r="28" spans="1:31" ht="17.25" customHeight="1" hidden="1">
      <c r="A28" s="472" t="s">
        <v>420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573" t="e">
        <f t="shared" si="0"/>
        <v>#DIV/0!</v>
      </c>
      <c r="P28" s="573"/>
      <c r="Q28" s="292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6"/>
      <c r="AE28" s="413"/>
    </row>
    <row r="29" spans="1:31" ht="17.25" customHeight="1" hidden="1">
      <c r="A29" s="472" t="s">
        <v>693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573" t="e">
        <f t="shared" si="0"/>
        <v>#DIV/0!</v>
      </c>
      <c r="P29" s="573"/>
      <c r="Q29" s="292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6"/>
      <c r="AE29" s="413"/>
    </row>
    <row r="30" spans="1:31" ht="17.25" customHeight="1">
      <c r="A30" s="472" t="s">
        <v>694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>
        <v>20000</v>
      </c>
      <c r="N30" s="24">
        <v>20000</v>
      </c>
      <c r="O30" s="573">
        <f t="shared" si="0"/>
        <v>1</v>
      </c>
      <c r="P30" s="573"/>
      <c r="Q30" s="292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6"/>
      <c r="AE30" s="413"/>
    </row>
    <row r="31" spans="1:31" ht="17.25" customHeight="1" hidden="1">
      <c r="A31" s="472" t="s">
        <v>354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573" t="e">
        <f t="shared" si="0"/>
        <v>#DIV/0!</v>
      </c>
      <c r="P31" s="573"/>
      <c r="Q31" s="292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6"/>
      <c r="AE31" s="413"/>
    </row>
    <row r="32" spans="1:31" ht="17.25" customHeight="1">
      <c r="A32" s="472" t="s">
        <v>520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>
        <v>9796</v>
      </c>
      <c r="N32" s="24">
        <v>9796</v>
      </c>
      <c r="O32" s="573">
        <f t="shared" si="0"/>
        <v>1</v>
      </c>
      <c r="P32" s="573"/>
      <c r="Q32" s="292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6"/>
      <c r="AE32" s="413"/>
    </row>
    <row r="33" spans="1:31" ht="17.25" customHeight="1" hidden="1">
      <c r="A33" s="472" t="s">
        <v>474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573" t="e">
        <f t="shared" si="0"/>
        <v>#DIV/0!</v>
      </c>
      <c r="P33" s="573"/>
      <c r="Q33" s="292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6"/>
      <c r="AE33" s="413"/>
    </row>
    <row r="34" spans="1:31" ht="17.25" customHeight="1">
      <c r="A34" s="472" t="s">
        <v>521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>
        <v>20000</v>
      </c>
      <c r="N34" s="24">
        <v>20000</v>
      </c>
      <c r="O34" s="573">
        <f t="shared" si="0"/>
        <v>1</v>
      </c>
      <c r="P34" s="573"/>
      <c r="Q34" s="292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6"/>
      <c r="AE34" s="413"/>
    </row>
    <row r="35" spans="1:31" ht="17.25" customHeight="1">
      <c r="A35" s="472" t="s">
        <v>523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>
        <v>108000</v>
      </c>
      <c r="N35" s="24">
        <v>108000</v>
      </c>
      <c r="O35" s="573">
        <f t="shared" si="0"/>
        <v>1</v>
      </c>
      <c r="P35" s="573"/>
      <c r="Q35" s="292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6"/>
      <c r="AE35" s="413"/>
    </row>
    <row r="36" spans="1:31" ht="17.25" customHeight="1">
      <c r="A36" s="472" t="s">
        <v>474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>
        <v>30000</v>
      </c>
      <c r="N36" s="24">
        <v>30000</v>
      </c>
      <c r="O36" s="573">
        <f t="shared" si="0"/>
        <v>1</v>
      </c>
      <c r="P36" s="573"/>
      <c r="Q36" s="292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6"/>
      <c r="AE36" s="413"/>
    </row>
    <row r="37" spans="1:31" ht="17.25" customHeight="1" hidden="1">
      <c r="A37" s="47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573" t="e">
        <f t="shared" si="0"/>
        <v>#DIV/0!</v>
      </c>
      <c r="P37" s="573"/>
      <c r="Q37" s="292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6"/>
      <c r="AE37" s="413"/>
    </row>
    <row r="38" spans="1:31" ht="17.25" customHeight="1" hidden="1">
      <c r="A38" s="472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573" t="e">
        <f t="shared" si="0"/>
        <v>#DIV/0!</v>
      </c>
      <c r="P38" s="573"/>
      <c r="Q38" s="292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6"/>
      <c r="AE38" s="413"/>
    </row>
    <row r="39" spans="1:31" ht="17.25" customHeight="1">
      <c r="A39" s="472" t="s">
        <v>430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>
        <v>358560</v>
      </c>
      <c r="N39" s="24">
        <v>358560</v>
      </c>
      <c r="O39" s="573">
        <f t="shared" si="0"/>
        <v>1</v>
      </c>
      <c r="P39" s="573"/>
      <c r="Q39" s="292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6"/>
      <c r="AE39" s="413"/>
    </row>
    <row r="40" spans="1:31" ht="17.25" customHeight="1">
      <c r="A40" s="47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73"/>
      <c r="P40" s="573"/>
      <c r="Q40" s="292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6"/>
      <c r="AE40" s="413"/>
    </row>
    <row r="41" spans="1:31" ht="17.25" customHeight="1">
      <c r="A41" s="22" t="s">
        <v>476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>
        <f>+M42+M43+M44</f>
        <v>96000</v>
      </c>
      <c r="N41" s="24">
        <f>+N42+N43+N44</f>
        <v>40000</v>
      </c>
      <c r="O41" s="573">
        <f t="shared" si="0"/>
        <v>0.4166666666666667</v>
      </c>
      <c r="P41" s="573"/>
      <c r="Q41" s="292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6"/>
      <c r="AE41" s="413"/>
    </row>
    <row r="42" spans="1:31" ht="17.25" customHeight="1">
      <c r="A42" s="472" t="s">
        <v>350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>
        <v>10000</v>
      </c>
      <c r="N42" s="24">
        <v>10000</v>
      </c>
      <c r="O42" s="573">
        <f t="shared" si="0"/>
        <v>1</v>
      </c>
      <c r="P42" s="573"/>
      <c r="Q42" s="292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6"/>
      <c r="AE42" s="607"/>
    </row>
    <row r="43" spans="1:31" ht="17.25" customHeight="1">
      <c r="A43" s="472" t="s">
        <v>473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868"/>
      <c r="M43" s="868">
        <v>56000</v>
      </c>
      <c r="N43" s="868">
        <v>0</v>
      </c>
      <c r="O43" s="573">
        <f t="shared" si="0"/>
        <v>0</v>
      </c>
      <c r="P43" s="869"/>
      <c r="Q43" s="870"/>
      <c r="R43" s="868"/>
      <c r="S43" s="868"/>
      <c r="T43" s="868"/>
      <c r="U43" s="868"/>
      <c r="V43" s="868"/>
      <c r="W43" s="868"/>
      <c r="X43" s="868"/>
      <c r="Y43" s="868"/>
      <c r="Z43" s="868"/>
      <c r="AA43" s="868"/>
      <c r="AB43" s="868">
        <v>70000</v>
      </c>
      <c r="AC43" s="868">
        <v>0</v>
      </c>
      <c r="AD43" s="573">
        <f>+AC43/AB43</f>
        <v>0</v>
      </c>
      <c r="AE43" s="413"/>
    </row>
    <row r="44" spans="1:31" ht="17.25" customHeight="1">
      <c r="A44" s="472" t="s">
        <v>355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868"/>
      <c r="M44" s="868">
        <v>30000</v>
      </c>
      <c r="N44" s="868">
        <v>30000</v>
      </c>
      <c r="O44" s="573">
        <f t="shared" si="0"/>
        <v>1</v>
      </c>
      <c r="P44" s="869"/>
      <c r="Q44" s="870"/>
      <c r="R44" s="868"/>
      <c r="S44" s="868"/>
      <c r="T44" s="868"/>
      <c r="U44" s="868"/>
      <c r="V44" s="868"/>
      <c r="W44" s="868"/>
      <c r="X44" s="868"/>
      <c r="Y44" s="868"/>
      <c r="Z44" s="868"/>
      <c r="AA44" s="868"/>
      <c r="AB44" s="868"/>
      <c r="AC44" s="868"/>
      <c r="AD44" s="26"/>
      <c r="AE44" s="413"/>
    </row>
    <row r="45" spans="1:31" ht="17.25" customHeight="1">
      <c r="A45" s="472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573"/>
      <c r="P45" s="573"/>
      <c r="Q45" s="292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6"/>
      <c r="AE45" s="413"/>
    </row>
    <row r="46" spans="1:31" ht="17.25" customHeight="1" hidden="1">
      <c r="A46" s="732" t="s">
        <v>421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573" t="e">
        <f t="shared" si="0"/>
        <v>#DIV/0!</v>
      </c>
      <c r="P46" s="573"/>
      <c r="Q46" s="292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6"/>
      <c r="AE46" s="413"/>
    </row>
    <row r="47" spans="1:31" ht="17.25" customHeight="1" hidden="1">
      <c r="A47" s="732" t="s">
        <v>596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573" t="e">
        <f t="shared" si="0"/>
        <v>#DIV/0!</v>
      </c>
      <c r="P47" s="573"/>
      <c r="Q47" s="292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6"/>
      <c r="AE47" s="413"/>
    </row>
    <row r="48" spans="1:31" ht="17.25" customHeight="1">
      <c r="A48" s="22" t="s">
        <v>651</v>
      </c>
      <c r="B48" s="24"/>
      <c r="C48" s="24"/>
      <c r="D48" s="24"/>
      <c r="E48" s="24"/>
      <c r="F48" s="24"/>
      <c r="G48" s="24"/>
      <c r="H48" s="24"/>
      <c r="I48" s="24">
        <v>200000</v>
      </c>
      <c r="J48" s="24">
        <v>200000</v>
      </c>
      <c r="K48" s="24">
        <v>200000</v>
      </c>
      <c r="L48" s="24">
        <v>200000</v>
      </c>
      <c r="M48" s="24">
        <v>560000</v>
      </c>
      <c r="N48" s="24">
        <v>560000</v>
      </c>
      <c r="O48" s="573">
        <f t="shared" si="0"/>
        <v>1</v>
      </c>
      <c r="P48" s="573"/>
      <c r="Q48" s="292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6"/>
      <c r="AE48" s="413"/>
    </row>
    <row r="49" spans="1:31" ht="17.25" customHeight="1">
      <c r="A49" s="22" t="s">
        <v>595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>
        <v>65725</v>
      </c>
      <c r="N49" s="24">
        <v>65725</v>
      </c>
      <c r="O49" s="573">
        <f t="shared" si="0"/>
        <v>1</v>
      </c>
      <c r="P49" s="573"/>
      <c r="Q49" s="292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6"/>
      <c r="AE49" s="413"/>
    </row>
    <row r="50" spans="1:31" ht="17.25" customHeight="1" hidden="1">
      <c r="A50" s="22" t="s">
        <v>497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573" t="e">
        <f t="shared" si="0"/>
        <v>#DIV/0!</v>
      </c>
      <c r="P50" s="573"/>
      <c r="Q50" s="292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6"/>
      <c r="AE50" s="413"/>
    </row>
    <row r="51" spans="1:31" ht="17.25" customHeight="1" hidden="1">
      <c r="A51" s="22" t="s">
        <v>498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573" t="e">
        <f t="shared" si="0"/>
        <v>#DIV/0!</v>
      </c>
      <c r="P51" s="573"/>
      <c r="Q51" s="292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6"/>
      <c r="AE51" s="413"/>
    </row>
    <row r="52" spans="1:31" ht="17.25" customHeight="1">
      <c r="A52" s="22" t="s">
        <v>695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>
        <v>24000</v>
      </c>
      <c r="N52" s="24">
        <v>24000</v>
      </c>
      <c r="O52" s="573">
        <f t="shared" si="0"/>
        <v>1</v>
      </c>
      <c r="P52" s="290"/>
      <c r="Q52" s="292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6"/>
      <c r="AE52" s="413"/>
    </row>
    <row r="53" spans="1:31" ht="17.25" customHeight="1" hidden="1">
      <c r="A53" s="2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573" t="e">
        <f t="shared" si="0"/>
        <v>#DIV/0!</v>
      </c>
      <c r="P53" s="290"/>
      <c r="Q53" s="292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6"/>
      <c r="AE53" s="413"/>
    </row>
    <row r="54" spans="1:31" ht="39.75" customHeight="1" hidden="1">
      <c r="A54" s="22" t="s">
        <v>524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573" t="e">
        <f t="shared" si="0"/>
        <v>#DIV/0!</v>
      </c>
      <c r="P54" s="573"/>
      <c r="Q54" s="292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6"/>
      <c r="AE54" s="413"/>
    </row>
    <row r="55" spans="1:31" ht="36.75" customHeight="1">
      <c r="A55" s="22" t="s">
        <v>506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>
        <v>40000</v>
      </c>
      <c r="N55" s="24">
        <v>40000</v>
      </c>
      <c r="O55" s="573">
        <f t="shared" si="0"/>
        <v>1</v>
      </c>
      <c r="P55" s="573"/>
      <c r="Q55" s="292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6"/>
      <c r="AE55" s="413"/>
    </row>
    <row r="56" spans="1:31" ht="30.75" hidden="1">
      <c r="A56" s="22" t="s">
        <v>552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573" t="e">
        <f t="shared" si="0"/>
        <v>#DIV/0!</v>
      </c>
      <c r="P56" s="573"/>
      <c r="Q56" s="292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6"/>
      <c r="AE56" s="413"/>
    </row>
    <row r="57" spans="1:31" ht="18">
      <c r="A57" s="43" t="s">
        <v>586</v>
      </c>
      <c r="B57" s="24"/>
      <c r="C57" s="24"/>
      <c r="D57" s="24"/>
      <c r="E57" s="24"/>
      <c r="F57" s="24"/>
      <c r="G57" s="24"/>
      <c r="H57" s="24"/>
      <c r="I57" s="24"/>
      <c r="J57" s="24"/>
      <c r="K57" s="24">
        <v>210000</v>
      </c>
      <c r="L57" s="24">
        <v>210000</v>
      </c>
      <c r="M57" s="24">
        <v>210000</v>
      </c>
      <c r="N57" s="24">
        <v>210000</v>
      </c>
      <c r="O57" s="573">
        <f t="shared" si="0"/>
        <v>1</v>
      </c>
      <c r="P57" s="573"/>
      <c r="Q57" s="292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6"/>
      <c r="AE57" s="413"/>
    </row>
    <row r="58" spans="1:31" ht="18" hidden="1">
      <c r="A58" s="43" t="s">
        <v>591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90"/>
      <c r="P58" s="573"/>
      <c r="Q58" s="292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6"/>
      <c r="AE58" s="413"/>
    </row>
    <row r="59" spans="1:31" ht="18">
      <c r="A59" s="22" t="s">
        <v>652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90"/>
      <c r="P59" s="573"/>
      <c r="Q59" s="292"/>
      <c r="R59" s="24"/>
      <c r="S59" s="24"/>
      <c r="T59" s="24"/>
      <c r="U59" s="24"/>
      <c r="V59" s="24"/>
      <c r="W59" s="24"/>
      <c r="X59" s="24">
        <v>500000</v>
      </c>
      <c r="Y59" s="24">
        <v>500000</v>
      </c>
      <c r="Z59" s="24">
        <v>500000</v>
      </c>
      <c r="AA59" s="24">
        <v>500000</v>
      </c>
      <c r="AB59" s="24">
        <v>500000</v>
      </c>
      <c r="AC59" s="24">
        <v>500000</v>
      </c>
      <c r="AD59" s="573">
        <f>+AC59/AB59</f>
        <v>1</v>
      </c>
      <c r="AE59" s="413"/>
    </row>
    <row r="60" spans="1:30" ht="23.25" customHeight="1" thickBot="1">
      <c r="A60" s="752" t="s">
        <v>1</v>
      </c>
      <c r="B60" s="27">
        <f aca="true" t="shared" si="1" ref="B60:I60">SUM(B10:B59)</f>
        <v>0</v>
      </c>
      <c r="C60" s="27">
        <f t="shared" si="1"/>
        <v>0</v>
      </c>
      <c r="D60" s="27">
        <f t="shared" si="1"/>
        <v>0</v>
      </c>
      <c r="E60" s="27">
        <f t="shared" si="1"/>
        <v>0</v>
      </c>
      <c r="F60" s="27">
        <f t="shared" si="1"/>
        <v>0</v>
      </c>
      <c r="G60" s="27">
        <f t="shared" si="1"/>
        <v>0</v>
      </c>
      <c r="H60" s="27">
        <f t="shared" si="1"/>
        <v>0</v>
      </c>
      <c r="I60" s="27">
        <f t="shared" si="1"/>
        <v>11041025</v>
      </c>
      <c r="J60" s="27">
        <f>SUM(J10:J59)</f>
        <v>11041025</v>
      </c>
      <c r="K60" s="27">
        <f>SUM(K10:K59)</f>
        <v>11251025</v>
      </c>
      <c r="L60" s="27">
        <f>SUM(L10:L59)</f>
        <v>13251025</v>
      </c>
      <c r="M60" s="27">
        <f>+M57+M55+M52+M49+M48+M17+M11+M41</f>
        <v>10899721</v>
      </c>
      <c r="N60" s="27">
        <f>+N57+N55+N52+N49+N48+N17+N11+N41</f>
        <v>10643721</v>
      </c>
      <c r="O60" s="958">
        <f>+N60/M60</f>
        <v>0.9765131602909836</v>
      </c>
      <c r="P60" s="753">
        <f>M60/L60</f>
        <v>0.8225568210761054</v>
      </c>
      <c r="Q60" s="754">
        <f aca="true" t="shared" si="2" ref="Q60:Z60">SUM(Q10:Q59)</f>
        <v>0</v>
      </c>
      <c r="R60" s="27">
        <f t="shared" si="2"/>
        <v>0</v>
      </c>
      <c r="S60" s="27">
        <f t="shared" si="2"/>
        <v>0</v>
      </c>
      <c r="T60" s="27">
        <f t="shared" si="2"/>
        <v>0</v>
      </c>
      <c r="U60" s="27">
        <f t="shared" si="2"/>
        <v>0</v>
      </c>
      <c r="V60" s="27"/>
      <c r="W60" s="27"/>
      <c r="X60" s="27">
        <f t="shared" si="2"/>
        <v>6700000</v>
      </c>
      <c r="Y60" s="27">
        <f>SUM(Y10:Y59)</f>
        <v>6700000</v>
      </c>
      <c r="Z60" s="27">
        <f t="shared" si="2"/>
        <v>6700000</v>
      </c>
      <c r="AA60" s="27">
        <f>SUM(AA10:AA59)</f>
        <v>7550000</v>
      </c>
      <c r="AB60" s="27">
        <f>SUM(AB10:AB59)</f>
        <v>7970000</v>
      </c>
      <c r="AC60" s="27">
        <f>SUM(AC10:AC59)</f>
        <v>7900000</v>
      </c>
      <c r="AD60" s="958">
        <f>+AC60/AB60</f>
        <v>0.9912170639899623</v>
      </c>
    </row>
    <row r="61" spans="1:30" ht="15">
      <c r="A61" s="755"/>
      <c r="B61" s="756"/>
      <c r="C61" s="756"/>
      <c r="D61" s="756"/>
      <c r="E61" s="756"/>
      <c r="F61" s="756"/>
      <c r="G61" s="756"/>
      <c r="H61" s="756"/>
      <c r="I61" s="670"/>
      <c r="J61" s="670"/>
      <c r="K61" s="670"/>
      <c r="L61" s="670"/>
      <c r="M61" s="670"/>
      <c r="N61" s="670"/>
      <c r="O61" s="670"/>
      <c r="P61" s="670"/>
      <c r="Q61" s="670"/>
      <c r="R61" s="756"/>
      <c r="S61" s="756"/>
      <c r="T61" s="756"/>
      <c r="U61" s="756"/>
      <c r="V61" s="756"/>
      <c r="W61" s="756"/>
      <c r="X61" s="670"/>
      <c r="Z61" s="288"/>
      <c r="AB61" s="288"/>
      <c r="AC61" s="288"/>
      <c r="AD61" s="288"/>
    </row>
    <row r="62" spans="1:26" ht="14.25">
      <c r="A62" s="1675" t="s">
        <v>220</v>
      </c>
      <c r="B62" s="1675"/>
      <c r="C62" s="1675"/>
      <c r="D62" s="1675"/>
      <c r="E62" s="1675"/>
      <c r="F62" s="1675"/>
      <c r="G62" s="1675"/>
      <c r="H62" s="1675"/>
      <c r="I62" s="1675"/>
      <c r="J62" s="1675"/>
      <c r="K62" s="1675"/>
      <c r="L62" s="1675"/>
      <c r="M62" s="1675"/>
      <c r="N62" s="1675"/>
      <c r="O62" s="1675"/>
      <c r="P62" s="1675"/>
      <c r="Q62" s="1675"/>
      <c r="R62" s="1675"/>
      <c r="S62" s="1675"/>
      <c r="T62" s="1675"/>
      <c r="U62" s="1675"/>
      <c r="V62" s="1675"/>
      <c r="W62" s="1675"/>
      <c r="X62" s="1675"/>
      <c r="Z62" s="288"/>
    </row>
    <row r="63" ht="13.5" thickBot="1">
      <c r="X63" s="9"/>
    </row>
    <row r="64" spans="1:31" ht="29.25" customHeight="1">
      <c r="A64" s="1692" t="s">
        <v>219</v>
      </c>
      <c r="B64" s="1694" t="s">
        <v>22</v>
      </c>
      <c r="C64" s="1695"/>
      <c r="D64" s="1695"/>
      <c r="E64" s="1695"/>
      <c r="F64" s="1695"/>
      <c r="G64" s="1695"/>
      <c r="H64" s="1695"/>
      <c r="I64" s="1695"/>
      <c r="J64" s="1695"/>
      <c r="K64" s="1695"/>
      <c r="L64" s="1695"/>
      <c r="M64" s="1695"/>
      <c r="N64" s="1695"/>
      <c r="O64" s="1695"/>
      <c r="P64" s="1695"/>
      <c r="Q64" s="1696" t="s">
        <v>23</v>
      </c>
      <c r="R64" s="1697"/>
      <c r="S64" s="1697"/>
      <c r="T64" s="1697"/>
      <c r="U64" s="1697"/>
      <c r="V64" s="1697"/>
      <c r="W64" s="1697"/>
      <c r="X64" s="1697"/>
      <c r="Y64" s="1697"/>
      <c r="Z64" s="1697"/>
      <c r="AA64" s="1697"/>
      <c r="AB64" s="1697"/>
      <c r="AC64" s="1694"/>
      <c r="AD64" s="1698"/>
      <c r="AE64" s="413"/>
    </row>
    <row r="65" spans="1:31" ht="29.25" customHeight="1">
      <c r="A65" s="1693"/>
      <c r="B65" s="1690" t="s">
        <v>62</v>
      </c>
      <c r="C65" s="1699"/>
      <c r="D65" s="1699"/>
      <c r="E65" s="1699"/>
      <c r="F65" s="1699"/>
      <c r="G65" s="1699"/>
      <c r="H65" s="1700"/>
      <c r="I65" s="1690" t="s">
        <v>63</v>
      </c>
      <c r="J65" s="1699"/>
      <c r="K65" s="1699"/>
      <c r="L65" s="1699"/>
      <c r="M65" s="1699"/>
      <c r="N65" s="1699"/>
      <c r="O65" s="1699"/>
      <c r="P65" s="1699"/>
      <c r="Q65" s="1702" t="s">
        <v>62</v>
      </c>
      <c r="R65" s="1699"/>
      <c r="S65" s="1699"/>
      <c r="T65" s="1699"/>
      <c r="U65" s="1699"/>
      <c r="V65" s="1699"/>
      <c r="W65" s="1700"/>
      <c r="X65" s="1689" t="s">
        <v>63</v>
      </c>
      <c r="Y65" s="1689"/>
      <c r="Z65" s="1689"/>
      <c r="AA65" s="1689"/>
      <c r="AB65" s="1689"/>
      <c r="AC65" s="1690"/>
      <c r="AD65" s="1691"/>
      <c r="AE65" s="413"/>
    </row>
    <row r="66" spans="1:31" ht="29.25" customHeight="1">
      <c r="A66" s="233"/>
      <c r="B66" s="234" t="s">
        <v>226</v>
      </c>
      <c r="C66" s="234" t="s">
        <v>224</v>
      </c>
      <c r="D66" s="414" t="s">
        <v>229</v>
      </c>
      <c r="E66" s="234" t="s">
        <v>231</v>
      </c>
      <c r="F66" s="234" t="s">
        <v>425</v>
      </c>
      <c r="G66" s="234" t="s">
        <v>392</v>
      </c>
      <c r="H66" s="234" t="s">
        <v>234</v>
      </c>
      <c r="I66" s="234" t="s">
        <v>226</v>
      </c>
      <c r="J66" s="600" t="s">
        <v>224</v>
      </c>
      <c r="K66" s="605" t="s">
        <v>229</v>
      </c>
      <c r="L66" s="606" t="s">
        <v>231</v>
      </c>
      <c r="M66" s="234" t="s">
        <v>425</v>
      </c>
      <c r="N66" s="234" t="s">
        <v>392</v>
      </c>
      <c r="O66" s="234" t="s">
        <v>234</v>
      </c>
      <c r="P66" s="606" t="s">
        <v>234</v>
      </c>
      <c r="Q66" s="601" t="s">
        <v>226</v>
      </c>
      <c r="R66" s="234" t="s">
        <v>224</v>
      </c>
      <c r="S66" s="414" t="s">
        <v>229</v>
      </c>
      <c r="T66" s="234" t="s">
        <v>231</v>
      </c>
      <c r="U66" s="234" t="s">
        <v>425</v>
      </c>
      <c r="V66" s="234" t="s">
        <v>392</v>
      </c>
      <c r="W66" s="234" t="s">
        <v>234</v>
      </c>
      <c r="X66" s="234" t="s">
        <v>226</v>
      </c>
      <c r="Y66" s="234" t="s">
        <v>224</v>
      </c>
      <c r="Z66" s="414" t="s">
        <v>229</v>
      </c>
      <c r="AA66" s="234" t="s">
        <v>231</v>
      </c>
      <c r="AB66" s="234" t="s">
        <v>425</v>
      </c>
      <c r="AC66" s="234" t="s">
        <v>392</v>
      </c>
      <c r="AD66" s="234" t="s">
        <v>234</v>
      </c>
      <c r="AE66" s="413"/>
    </row>
    <row r="67" spans="1:31" ht="45.75">
      <c r="A67" s="22" t="s">
        <v>661</v>
      </c>
      <c r="B67" s="24"/>
      <c r="C67" s="24"/>
      <c r="D67" s="24"/>
      <c r="E67" s="24"/>
      <c r="F67" s="24"/>
      <c r="G67" s="24"/>
      <c r="H67" s="573"/>
      <c r="I67" s="24"/>
      <c r="J67" s="24"/>
      <c r="K67" s="24"/>
      <c r="L67" s="24"/>
      <c r="M67" s="290"/>
      <c r="N67" s="290"/>
      <c r="O67" s="290"/>
      <c r="P67" s="290"/>
      <c r="Q67" s="292"/>
      <c r="R67" s="24">
        <v>89</v>
      </c>
      <c r="S67" s="24">
        <v>89</v>
      </c>
      <c r="T67" s="24">
        <v>5089</v>
      </c>
      <c r="U67" s="24">
        <v>5089</v>
      </c>
      <c r="V67" s="24">
        <v>5089</v>
      </c>
      <c r="W67" s="573">
        <f>+V67/U67</f>
        <v>1</v>
      </c>
      <c r="X67" s="24"/>
      <c r="Y67" s="24"/>
      <c r="Z67" s="24"/>
      <c r="AA67" s="24"/>
      <c r="AB67" s="24"/>
      <c r="AC67" s="290"/>
      <c r="AD67" s="26"/>
      <c r="AE67" s="413"/>
    </row>
    <row r="68" spans="1:31" ht="18" hidden="1">
      <c r="A68" s="22" t="s">
        <v>429</v>
      </c>
      <c r="B68" s="42"/>
      <c r="C68" s="42"/>
      <c r="D68" s="42"/>
      <c r="E68" s="42"/>
      <c r="F68" s="42"/>
      <c r="G68" s="42"/>
      <c r="H68" s="573"/>
      <c r="I68" s="42"/>
      <c r="J68" s="42"/>
      <c r="K68" s="42"/>
      <c r="L68" s="42"/>
      <c r="M68" s="293"/>
      <c r="N68" s="293"/>
      <c r="O68" s="668"/>
      <c r="P68" s="293"/>
      <c r="Q68" s="292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90"/>
      <c r="AD68" s="26"/>
      <c r="AE68" s="413"/>
    </row>
    <row r="69" spans="1:31" ht="18" hidden="1">
      <c r="A69" s="43" t="s">
        <v>472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669"/>
      <c r="P69" s="573"/>
      <c r="Q69" s="292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90"/>
      <c r="AD69" s="26"/>
      <c r="AE69" s="413"/>
    </row>
    <row r="70" spans="1:31" ht="18">
      <c r="A70" s="43" t="s">
        <v>471</v>
      </c>
      <c r="B70" s="42"/>
      <c r="C70" s="42"/>
      <c r="D70" s="42"/>
      <c r="E70" s="42"/>
      <c r="F70" s="42"/>
      <c r="G70" s="42"/>
      <c r="H70" s="42"/>
      <c r="I70" s="42">
        <v>1052568</v>
      </c>
      <c r="J70" s="42">
        <v>1052568</v>
      </c>
      <c r="K70" s="42">
        <v>1052568</v>
      </c>
      <c r="L70" s="42">
        <v>1052568</v>
      </c>
      <c r="M70" s="42">
        <v>1074546</v>
      </c>
      <c r="N70" s="42">
        <v>1074546</v>
      </c>
      <c r="O70" s="573">
        <f>+N70/M70</f>
        <v>1</v>
      </c>
      <c r="P70" s="573"/>
      <c r="Q70" s="292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90"/>
      <c r="AD70" s="26"/>
      <c r="AE70" s="413"/>
    </row>
    <row r="71" spans="1:31" ht="18">
      <c r="A71" s="43" t="s">
        <v>487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959"/>
      <c r="P71" s="573"/>
      <c r="Q71" s="292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90"/>
      <c r="AD71" s="26"/>
      <c r="AE71" s="413"/>
    </row>
    <row r="72" spans="1:31" ht="18">
      <c r="A72" s="43" t="s">
        <v>221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293"/>
      <c r="P72" s="573"/>
      <c r="Q72" s="292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90"/>
      <c r="AD72" s="26"/>
      <c r="AE72" s="413"/>
    </row>
    <row r="73" spans="1:31" ht="18">
      <c r="A73" s="43" t="s">
        <v>222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293"/>
      <c r="P73" s="573"/>
      <c r="Q73" s="292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90"/>
      <c r="AD73" s="26"/>
      <c r="AE73" s="413"/>
    </row>
    <row r="74" spans="1:31" ht="18">
      <c r="A74" s="43" t="s">
        <v>223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93"/>
      <c r="P74" s="573"/>
      <c r="Q74" s="292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90"/>
      <c r="AD74" s="26"/>
      <c r="AE74" s="413"/>
    </row>
    <row r="75" spans="1:31" ht="30.75">
      <c r="A75" s="43" t="s">
        <v>692</v>
      </c>
      <c r="B75" s="42"/>
      <c r="C75" s="42"/>
      <c r="D75" s="42"/>
      <c r="E75" s="42"/>
      <c r="F75" s="42">
        <v>341770</v>
      </c>
      <c r="G75" s="42">
        <v>341770</v>
      </c>
      <c r="H75" s="573">
        <f>+G75/F75</f>
        <v>1</v>
      </c>
      <c r="I75" s="42"/>
      <c r="J75" s="42"/>
      <c r="K75" s="42"/>
      <c r="L75" s="42"/>
      <c r="M75" s="42"/>
      <c r="N75" s="42"/>
      <c r="O75" s="293"/>
      <c r="P75" s="573"/>
      <c r="Q75" s="292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90"/>
      <c r="AD75" s="26"/>
      <c r="AE75" s="413"/>
    </row>
    <row r="76" spans="1:31" ht="18">
      <c r="A76" s="43" t="s">
        <v>551</v>
      </c>
      <c r="B76" s="42"/>
      <c r="C76" s="42"/>
      <c r="D76" s="42"/>
      <c r="E76" s="42"/>
      <c r="F76" s="42"/>
      <c r="G76" s="42"/>
      <c r="H76" s="42"/>
      <c r="I76" s="42">
        <v>239220</v>
      </c>
      <c r="J76" s="42">
        <v>239220</v>
      </c>
      <c r="K76" s="42">
        <v>239220</v>
      </c>
      <c r="L76" s="42">
        <v>239220</v>
      </c>
      <c r="M76" s="42"/>
      <c r="N76" s="42"/>
      <c r="O76" s="293"/>
      <c r="P76" s="573"/>
      <c r="Q76" s="292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90"/>
      <c r="AD76" s="26"/>
      <c r="AE76" s="413"/>
    </row>
    <row r="77" spans="1:31" ht="39" customHeight="1">
      <c r="A77" s="43" t="s">
        <v>619</v>
      </c>
      <c r="B77" s="42">
        <v>141199583</v>
      </c>
      <c r="C77" s="42">
        <v>141199583</v>
      </c>
      <c r="D77" s="42">
        <v>141199583</v>
      </c>
      <c r="E77" s="42">
        <v>141199583</v>
      </c>
      <c r="F77" s="42">
        <v>137653858</v>
      </c>
      <c r="G77" s="42">
        <v>137653858</v>
      </c>
      <c r="H77" s="573">
        <f>+G77/F77</f>
        <v>1</v>
      </c>
      <c r="I77" s="42"/>
      <c r="J77" s="42"/>
      <c r="K77" s="42"/>
      <c r="L77" s="42"/>
      <c r="M77" s="42"/>
      <c r="N77" s="42"/>
      <c r="O77" s="293"/>
      <c r="P77" s="293"/>
      <c r="Q77" s="292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90"/>
      <c r="AD77" s="26"/>
      <c r="AE77" s="413"/>
    </row>
    <row r="78" spans="1:31" ht="39" customHeight="1">
      <c r="A78" s="43" t="s">
        <v>529</v>
      </c>
      <c r="B78" s="42"/>
      <c r="C78" s="42"/>
      <c r="D78" s="42"/>
      <c r="E78" s="42"/>
      <c r="F78" s="42"/>
      <c r="G78" s="42"/>
      <c r="H78" s="705"/>
      <c r="I78" s="42"/>
      <c r="J78" s="42"/>
      <c r="K78" s="42"/>
      <c r="L78" s="42"/>
      <c r="M78" s="42"/>
      <c r="N78" s="42"/>
      <c r="O78" s="293"/>
      <c r="P78" s="293"/>
      <c r="Q78" s="292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90"/>
      <c r="AD78" s="26"/>
      <c r="AE78" s="413"/>
    </row>
    <row r="79" spans="1:31" ht="18">
      <c r="A79" s="43" t="s">
        <v>238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93"/>
      <c r="P79" s="293"/>
      <c r="Q79" s="292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90"/>
      <c r="AD79" s="26"/>
      <c r="AE79" s="413"/>
    </row>
    <row r="80" spans="1:31" ht="18">
      <c r="A80" s="43" t="s">
        <v>519</v>
      </c>
      <c r="B80" s="42">
        <v>460000</v>
      </c>
      <c r="C80" s="42">
        <v>460000</v>
      </c>
      <c r="D80" s="42">
        <v>460000</v>
      </c>
      <c r="E80" s="42">
        <v>460000</v>
      </c>
      <c r="F80" s="42">
        <v>470000</v>
      </c>
      <c r="G80" s="42">
        <v>470000</v>
      </c>
      <c r="H80" s="573">
        <f>+G80/F80</f>
        <v>1</v>
      </c>
      <c r="I80" s="42"/>
      <c r="J80" s="42"/>
      <c r="K80" s="42"/>
      <c r="L80" s="42"/>
      <c r="M80" s="42"/>
      <c r="N80" s="42"/>
      <c r="O80" s="293"/>
      <c r="P80" s="293"/>
      <c r="Q80" s="292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90"/>
      <c r="AD80" s="26"/>
      <c r="AE80" s="413"/>
    </row>
    <row r="81" spans="1:31" ht="47.25" customHeight="1">
      <c r="A81" s="43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93"/>
      <c r="P81" s="293"/>
      <c r="Q81" s="292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90"/>
      <c r="AD81" s="26"/>
      <c r="AE81" s="413"/>
    </row>
    <row r="82" spans="1:31" ht="39" customHeight="1" hidden="1">
      <c r="A82" s="43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93"/>
      <c r="P82" s="293"/>
      <c r="Q82" s="292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90"/>
      <c r="AD82" s="26"/>
      <c r="AE82" s="413"/>
    </row>
    <row r="83" spans="1:31" ht="39" customHeight="1" hidden="1">
      <c r="A83" s="43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93"/>
      <c r="P83" s="293"/>
      <c r="Q83" s="292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90"/>
      <c r="AD83" s="26"/>
      <c r="AE83" s="413"/>
    </row>
    <row r="84" spans="1:31" ht="39" customHeight="1" hidden="1">
      <c r="A84" s="43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93"/>
      <c r="P84" s="293"/>
      <c r="Q84" s="292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90"/>
      <c r="AD84" s="26"/>
      <c r="AE84" s="413"/>
    </row>
    <row r="85" spans="1:31" ht="39" customHeight="1" hidden="1">
      <c r="A85" s="43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93"/>
      <c r="P85" s="293"/>
      <c r="Q85" s="292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90"/>
      <c r="AD85" s="26"/>
      <c r="AE85" s="413"/>
    </row>
    <row r="86" spans="1:31" ht="39" customHeight="1" hidden="1">
      <c r="A86" s="43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93"/>
      <c r="P86" s="293"/>
      <c r="Q86" s="292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90"/>
      <c r="AD86" s="26"/>
      <c r="AE86" s="413"/>
    </row>
    <row r="87" spans="1:31" ht="39" customHeight="1" hidden="1">
      <c r="A87" s="43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93"/>
      <c r="P87" s="293"/>
      <c r="Q87" s="292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90"/>
      <c r="AD87" s="26"/>
      <c r="AE87" s="413"/>
    </row>
    <row r="88" spans="1:31" s="11" customFormat="1" ht="27" customHeight="1" thickBot="1">
      <c r="A88" s="23" t="s">
        <v>1</v>
      </c>
      <c r="B88" s="28">
        <f aca="true" t="shared" si="3" ref="B88:G88">SUM(B67:B82)</f>
        <v>141659583</v>
      </c>
      <c r="C88" s="28">
        <f t="shared" si="3"/>
        <v>141659583</v>
      </c>
      <c r="D88" s="28">
        <f t="shared" si="3"/>
        <v>141659583</v>
      </c>
      <c r="E88" s="28">
        <f t="shared" si="3"/>
        <v>141659583</v>
      </c>
      <c r="F88" s="28">
        <f t="shared" si="3"/>
        <v>138465628</v>
      </c>
      <c r="G88" s="28">
        <f t="shared" si="3"/>
        <v>138465628</v>
      </c>
      <c r="H88" s="958">
        <f>+G88/F88</f>
        <v>1</v>
      </c>
      <c r="I88" s="575">
        <f aca="true" t="shared" si="4" ref="I88:X88">SUM(I67:I82)</f>
        <v>1291788</v>
      </c>
      <c r="J88" s="575">
        <f>SUM(J67:J82)</f>
        <v>1291788</v>
      </c>
      <c r="K88" s="575">
        <f>SUM(K67:K82)</f>
        <v>1291788</v>
      </c>
      <c r="L88" s="575">
        <f>SUM(L67:L82)</f>
        <v>1291788</v>
      </c>
      <c r="M88" s="575">
        <f>SUM(M67:M82)</f>
        <v>1074546</v>
      </c>
      <c r="N88" s="575">
        <f>SUM(N67:N82)</f>
        <v>1074546</v>
      </c>
      <c r="O88" s="958">
        <f>+N88/M88</f>
        <v>1</v>
      </c>
      <c r="P88" s="576">
        <f>M88/L88</f>
        <v>0.8318284424379232</v>
      </c>
      <c r="Q88" s="574">
        <f t="shared" si="4"/>
        <v>0</v>
      </c>
      <c r="R88" s="28">
        <f t="shared" si="4"/>
        <v>89</v>
      </c>
      <c r="S88" s="28">
        <f t="shared" si="4"/>
        <v>89</v>
      </c>
      <c r="T88" s="28">
        <f t="shared" si="4"/>
        <v>5089</v>
      </c>
      <c r="U88" s="28">
        <f t="shared" si="4"/>
        <v>5089</v>
      </c>
      <c r="V88" s="28">
        <f t="shared" si="4"/>
        <v>5089</v>
      </c>
      <c r="W88" s="958">
        <f>+V88/U88</f>
        <v>1</v>
      </c>
      <c r="X88" s="28">
        <f t="shared" si="4"/>
        <v>0</v>
      </c>
      <c r="Y88" s="28">
        <f>SUM(Y67:Y87)</f>
        <v>0</v>
      </c>
      <c r="Z88" s="28"/>
      <c r="AA88" s="28"/>
      <c r="AB88" s="28"/>
      <c r="AC88" s="616"/>
      <c r="AD88" s="206"/>
      <c r="AE88" s="413"/>
    </row>
    <row r="89" spans="2:24" ht="18">
      <c r="B89" s="288"/>
      <c r="G89" s="740"/>
      <c r="H89" s="740"/>
      <c r="I89" s="741"/>
      <c r="J89" s="740"/>
      <c r="K89" s="740"/>
      <c r="L89" s="740"/>
      <c r="M89" s="741"/>
      <c r="N89" s="741"/>
      <c r="O89" s="741"/>
      <c r="X89" s="670"/>
    </row>
    <row r="90" spans="1:24" ht="14.25" hidden="1">
      <c r="A90" s="1675"/>
      <c r="B90" s="1675"/>
      <c r="C90" s="1675"/>
      <c r="D90" s="1675"/>
      <c r="E90" s="1675"/>
      <c r="F90" s="1675"/>
      <c r="G90" s="1675"/>
      <c r="H90" s="1675"/>
      <c r="I90" s="1675"/>
      <c r="J90" s="1675"/>
      <c r="K90" s="1675"/>
      <c r="L90" s="1675"/>
      <c r="M90" s="1675"/>
      <c r="N90" s="1675"/>
      <c r="O90" s="1675"/>
      <c r="P90" s="1675"/>
      <c r="Q90" s="1675"/>
      <c r="R90" s="1675"/>
      <c r="S90" s="1675"/>
      <c r="T90" s="1675"/>
      <c r="U90" s="1675"/>
      <c r="V90" s="1675"/>
      <c r="W90" s="1675"/>
      <c r="X90" s="1675"/>
    </row>
    <row r="91" spans="1:15" ht="18.75" hidden="1" thickBot="1">
      <c r="A91" s="661"/>
      <c r="E91" s="288"/>
      <c r="F91" s="288"/>
      <c r="G91" s="288"/>
      <c r="N91" s="742"/>
      <c r="O91" s="742"/>
    </row>
    <row r="92" spans="1:30" ht="15.75" hidden="1">
      <c r="A92" s="1676"/>
      <c r="B92" s="1678"/>
      <c r="C92" s="1679"/>
      <c r="D92" s="1679"/>
      <c r="E92" s="1679"/>
      <c r="F92" s="1679"/>
      <c r="G92" s="1679"/>
      <c r="H92" s="1679"/>
      <c r="I92" s="1679"/>
      <c r="J92" s="1679"/>
      <c r="K92" s="1679"/>
      <c r="L92" s="1679"/>
      <c r="M92" s="1679"/>
      <c r="N92" s="1679"/>
      <c r="O92" s="1679"/>
      <c r="P92" s="1679"/>
      <c r="Q92" s="1680"/>
      <c r="R92" s="1681"/>
      <c r="S92" s="1681"/>
      <c r="T92" s="1681"/>
      <c r="U92" s="1681"/>
      <c r="V92" s="1681"/>
      <c r="W92" s="1681"/>
      <c r="X92" s="1681"/>
      <c r="Y92" s="1681"/>
      <c r="Z92" s="1681"/>
      <c r="AA92" s="1681"/>
      <c r="AB92" s="1681"/>
      <c r="AC92" s="1678"/>
      <c r="AD92" s="1682"/>
    </row>
    <row r="93" spans="1:30" ht="15.75" hidden="1">
      <c r="A93" s="1677"/>
      <c r="B93" s="1683"/>
      <c r="C93" s="1684"/>
      <c r="D93" s="1684"/>
      <c r="E93" s="1684"/>
      <c r="F93" s="1684"/>
      <c r="G93" s="1684"/>
      <c r="H93" s="1685"/>
      <c r="I93" s="1683"/>
      <c r="J93" s="1684"/>
      <c r="K93" s="1684"/>
      <c r="L93" s="1684"/>
      <c r="M93" s="1684"/>
      <c r="N93" s="1684"/>
      <c r="O93" s="1684"/>
      <c r="P93" s="1684"/>
      <c r="Q93" s="1686"/>
      <c r="R93" s="1687"/>
      <c r="S93" s="1687"/>
      <c r="T93" s="1687"/>
      <c r="U93" s="1687"/>
      <c r="V93" s="891"/>
      <c r="W93" s="891"/>
      <c r="X93" s="1687"/>
      <c r="Y93" s="1687"/>
      <c r="Z93" s="1687"/>
      <c r="AA93" s="1687"/>
      <c r="AB93" s="1687"/>
      <c r="AC93" s="1683"/>
      <c r="AD93" s="1688"/>
    </row>
    <row r="94" spans="1:30" ht="15.75" hidden="1">
      <c r="A94" s="743"/>
      <c r="B94" s="746"/>
      <c r="C94" s="746"/>
      <c r="D94" s="747"/>
      <c r="E94" s="746"/>
      <c r="F94" s="746"/>
      <c r="G94" s="746"/>
      <c r="H94" s="746"/>
      <c r="I94" s="746"/>
      <c r="J94" s="745"/>
      <c r="K94" s="748"/>
      <c r="L94" s="749"/>
      <c r="M94" s="746"/>
      <c r="N94" s="750"/>
      <c r="O94" s="750"/>
      <c r="P94" s="749"/>
      <c r="Q94" s="744"/>
      <c r="R94" s="746"/>
      <c r="S94" s="747"/>
      <c r="T94" s="746"/>
      <c r="U94" s="746"/>
      <c r="V94" s="746"/>
      <c r="W94" s="746"/>
      <c r="X94" s="746"/>
      <c r="Y94" s="746"/>
      <c r="Z94" s="747"/>
      <c r="AA94" s="746"/>
      <c r="AB94" s="746"/>
      <c r="AC94" s="750"/>
      <c r="AD94" s="746"/>
    </row>
    <row r="95" spans="1:30" ht="18" hidden="1">
      <c r="A95" s="22"/>
      <c r="B95" s="24"/>
      <c r="C95" s="24"/>
      <c r="D95" s="24"/>
      <c r="E95" s="24"/>
      <c r="F95" s="24"/>
      <c r="G95" s="24"/>
      <c r="H95" s="573"/>
      <c r="I95" s="24"/>
      <c r="J95" s="24"/>
      <c r="K95" s="24"/>
      <c r="L95" s="24"/>
      <c r="M95" s="290"/>
      <c r="N95" s="290"/>
      <c r="O95" s="290"/>
      <c r="P95" s="290"/>
      <c r="Q95" s="292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90"/>
      <c r="AD95" s="26"/>
    </row>
    <row r="96" spans="1:30" ht="18" hidden="1">
      <c r="A96" s="22"/>
      <c r="B96" s="42"/>
      <c r="C96" s="42"/>
      <c r="D96" s="42"/>
      <c r="E96" s="42"/>
      <c r="F96" s="42"/>
      <c r="G96" s="42"/>
      <c r="H96" s="573"/>
      <c r="I96" s="42"/>
      <c r="J96" s="42"/>
      <c r="K96" s="42"/>
      <c r="L96" s="42"/>
      <c r="M96" s="293"/>
      <c r="N96" s="293"/>
      <c r="O96" s="293"/>
      <c r="P96" s="293"/>
      <c r="Q96" s="292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90"/>
      <c r="AD96" s="26"/>
    </row>
    <row r="97" spans="1:30" ht="18" hidden="1">
      <c r="A97" s="4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93"/>
      <c r="P97" s="573"/>
      <c r="Q97" s="292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90"/>
      <c r="AD97" s="26"/>
    </row>
    <row r="98" spans="1:30" ht="18" hidden="1">
      <c r="A98" s="4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93"/>
      <c r="P98" s="573"/>
      <c r="Q98" s="292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90"/>
      <c r="AD98" s="26"/>
    </row>
    <row r="99" spans="1:30" ht="18" hidden="1">
      <c r="A99" s="43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93"/>
      <c r="P99" s="573"/>
      <c r="Q99" s="292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90"/>
      <c r="AD99" s="26"/>
    </row>
    <row r="100" spans="1:30" ht="18" hidden="1">
      <c r="A100" s="43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93"/>
      <c r="P100" s="573"/>
      <c r="Q100" s="292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90"/>
      <c r="AD100" s="26"/>
    </row>
    <row r="101" spans="1:30" ht="18" hidden="1">
      <c r="A101" s="43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93"/>
      <c r="P101" s="573"/>
      <c r="Q101" s="292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90"/>
      <c r="AD101" s="26"/>
    </row>
    <row r="102" spans="1:30" ht="18" hidden="1">
      <c r="A102" s="43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93"/>
      <c r="P102" s="573"/>
      <c r="Q102" s="292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90"/>
      <c r="AD102" s="26"/>
    </row>
    <row r="103" spans="1:30" ht="18" hidden="1">
      <c r="A103" s="43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93"/>
      <c r="P103" s="573"/>
      <c r="Q103" s="292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90"/>
      <c r="AD103" s="26"/>
    </row>
    <row r="104" spans="1:30" ht="18" hidden="1">
      <c r="A104" s="43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93"/>
      <c r="P104" s="573"/>
      <c r="Q104" s="292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90"/>
      <c r="AD104" s="26"/>
    </row>
    <row r="105" spans="1:30" ht="18" hidden="1">
      <c r="A105" s="43"/>
      <c r="B105" s="42"/>
      <c r="C105" s="42"/>
      <c r="D105" s="42"/>
      <c r="E105" s="42"/>
      <c r="F105" s="42"/>
      <c r="G105" s="42"/>
      <c r="H105" s="573"/>
      <c r="I105" s="42"/>
      <c r="J105" s="42"/>
      <c r="K105" s="42"/>
      <c r="L105" s="42"/>
      <c r="M105" s="42"/>
      <c r="N105" s="42"/>
      <c r="O105" s="293"/>
      <c r="P105" s="293"/>
      <c r="Q105" s="292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90"/>
      <c r="AD105" s="26"/>
    </row>
    <row r="106" spans="1:30" ht="18" hidden="1">
      <c r="A106" s="43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93"/>
      <c r="P106" s="293"/>
      <c r="Q106" s="292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90"/>
      <c r="AD106" s="26"/>
    </row>
    <row r="107" spans="1:30" ht="18" hidden="1">
      <c r="A107" s="43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93"/>
      <c r="P107" s="293"/>
      <c r="Q107" s="292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90"/>
      <c r="AD107" s="26"/>
    </row>
    <row r="108" spans="1:30" ht="18" hidden="1">
      <c r="A108" s="43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93"/>
      <c r="P108" s="293"/>
      <c r="Q108" s="292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90"/>
      <c r="AD108" s="26"/>
    </row>
    <row r="109" spans="1:30" ht="18" hidden="1">
      <c r="A109" s="43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93"/>
      <c r="P109" s="293"/>
      <c r="Q109" s="292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90"/>
      <c r="AD109" s="26"/>
    </row>
    <row r="110" spans="1:30" ht="18" hidden="1">
      <c r="A110" s="43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93"/>
      <c r="P110" s="293"/>
      <c r="Q110" s="292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90"/>
      <c r="AD110" s="26"/>
    </row>
    <row r="111" spans="1:30" ht="18" hidden="1">
      <c r="A111" s="43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93"/>
      <c r="P111" s="293"/>
      <c r="Q111" s="292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90"/>
      <c r="AD111" s="26"/>
    </row>
    <row r="112" spans="1:30" ht="18" hidden="1">
      <c r="A112" s="43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93"/>
      <c r="P112" s="293"/>
      <c r="Q112" s="292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90"/>
      <c r="AD112" s="26"/>
    </row>
    <row r="113" spans="1:30" ht="18" hidden="1">
      <c r="A113" s="43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93"/>
      <c r="P113" s="293"/>
      <c r="Q113" s="292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90"/>
      <c r="AD113" s="26"/>
    </row>
    <row r="114" spans="1:30" ht="18" hidden="1">
      <c r="A114" s="43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93"/>
      <c r="P114" s="293"/>
      <c r="Q114" s="292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90"/>
      <c r="AD114" s="26"/>
    </row>
    <row r="115" spans="1:30" ht="18.75" hidden="1" thickBot="1">
      <c r="A115" s="23"/>
      <c r="B115" s="28"/>
      <c r="C115" s="28"/>
      <c r="D115" s="28"/>
      <c r="E115" s="28"/>
      <c r="F115" s="28"/>
      <c r="G115" s="28"/>
      <c r="H115" s="576"/>
      <c r="I115" s="575"/>
      <c r="J115" s="575"/>
      <c r="K115" s="575"/>
      <c r="L115" s="575"/>
      <c r="M115" s="575"/>
      <c r="N115" s="575"/>
      <c r="O115" s="575"/>
      <c r="P115" s="576"/>
      <c r="Q115" s="574"/>
      <c r="R115" s="28"/>
      <c r="S115" s="28"/>
      <c r="T115" s="28"/>
      <c r="U115" s="28"/>
      <c r="V115" s="28"/>
      <c r="W115" s="28"/>
      <c r="X115" s="28"/>
      <c r="Y115" s="28"/>
      <c r="Z115" s="28"/>
      <c r="AA115" s="575"/>
      <c r="AB115" s="575"/>
      <c r="AC115" s="575"/>
      <c r="AD115" s="206"/>
    </row>
    <row r="116" spans="2:14" ht="12.75">
      <c r="B116" s="288"/>
      <c r="I116" s="288"/>
      <c r="J116" s="288"/>
      <c r="K116" s="288"/>
      <c r="L116" s="288"/>
      <c r="M116" s="288"/>
      <c r="N116" s="288"/>
    </row>
    <row r="117" spans="2:14" ht="12.75">
      <c r="B117" s="288"/>
      <c r="C117" s="288"/>
      <c r="G117" s="288"/>
      <c r="J117" s="288"/>
      <c r="L117" s="288"/>
      <c r="M117" s="288"/>
      <c r="N117" s="288"/>
    </row>
    <row r="118" spans="2:10" ht="12.75">
      <c r="B118" s="288"/>
      <c r="C118" s="288"/>
      <c r="G118" s="288"/>
      <c r="J118" s="288"/>
    </row>
    <row r="119" spans="2:7" ht="12.75">
      <c r="B119" s="288"/>
      <c r="G119" s="288"/>
    </row>
  </sheetData>
  <sheetProtection/>
  <mergeCells count="28">
    <mergeCell ref="A2:AD2"/>
    <mergeCell ref="Q65:W65"/>
    <mergeCell ref="A7:A8"/>
    <mergeCell ref="B7:P7"/>
    <mergeCell ref="Q7:AD7"/>
    <mergeCell ref="B8:H8"/>
    <mergeCell ref="I8:P8"/>
    <mergeCell ref="Q8:U8"/>
    <mergeCell ref="A3:AD3"/>
    <mergeCell ref="A4:AD4"/>
    <mergeCell ref="X8:AD8"/>
    <mergeCell ref="A62:X62"/>
    <mergeCell ref="A64:A65"/>
    <mergeCell ref="B64:P64"/>
    <mergeCell ref="Q64:AD64"/>
    <mergeCell ref="B65:H65"/>
    <mergeCell ref="I65:P65"/>
    <mergeCell ref="X65:AD65"/>
    <mergeCell ref="X6:AD6"/>
    <mergeCell ref="Q1:AD1"/>
    <mergeCell ref="A90:X90"/>
    <mergeCell ref="A92:A93"/>
    <mergeCell ref="B92:P92"/>
    <mergeCell ref="Q92:AD92"/>
    <mergeCell ref="B93:H93"/>
    <mergeCell ref="I93:P93"/>
    <mergeCell ref="Q93:U93"/>
    <mergeCell ref="X93:AD9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8" scale="57" r:id="rId1"/>
  <headerFooter alignWithMargins="0">
    <oddFooter>&amp;R
</oddFooter>
  </headerFooter>
  <colBreaks count="1" manualBreakCount="1">
    <brk id="31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O18"/>
  <sheetViews>
    <sheetView view="pageBreakPreview" zoomScale="60" zoomScalePageLayoutView="0" workbookViewId="0" topLeftCell="B1">
      <selection activeCell="M11" sqref="M11"/>
    </sheetView>
  </sheetViews>
  <sheetFormatPr defaultColWidth="9.140625" defaultRowHeight="12.75"/>
  <cols>
    <col min="1" max="1" width="48.28125" style="20" customWidth="1"/>
    <col min="2" max="3" width="14.8515625" style="13" customWidth="1"/>
    <col min="4" max="4" width="20.57421875" style="13" customWidth="1"/>
    <col min="5" max="5" width="14.8515625" style="13" customWidth="1"/>
    <col min="6" max="7" width="14.8515625" style="13" hidden="1" customWidth="1"/>
    <col min="8" max="8" width="20.421875" style="13" hidden="1" customWidth="1"/>
    <col min="9" max="9" width="14.8515625" style="13" hidden="1" customWidth="1"/>
    <col min="10" max="10" width="11.8515625" style="13" customWidth="1"/>
    <col min="11" max="11" width="14.8515625" style="13" customWidth="1"/>
    <col min="12" max="12" width="20.7109375" style="13" customWidth="1"/>
    <col min="13" max="14" width="11.57421875" style="13" customWidth="1"/>
    <col min="15" max="15" width="11.7109375" style="13" bestFit="1" customWidth="1"/>
    <col min="16" max="16384" width="9.140625" style="13" customWidth="1"/>
  </cols>
  <sheetData>
    <row r="2" spans="4:15" ht="12.75">
      <c r="D2" s="1710" t="s">
        <v>1020</v>
      </c>
      <c r="E2" s="1710"/>
      <c r="F2" s="1710"/>
      <c r="G2" s="1710"/>
      <c r="H2" s="1710"/>
      <c r="I2" s="1710"/>
      <c r="J2" s="1710"/>
      <c r="K2" s="1710"/>
      <c r="L2" s="1710"/>
      <c r="M2" s="1710"/>
      <c r="N2" s="1710"/>
      <c r="O2" s="1710"/>
    </row>
    <row r="4" spans="1:15" ht="19.5">
      <c r="A4" s="1711" t="s">
        <v>614</v>
      </c>
      <c r="B4" s="1711"/>
      <c r="C4" s="1711"/>
      <c r="D4" s="1711"/>
      <c r="E4" s="1711"/>
      <c r="F4" s="1711"/>
      <c r="G4" s="1711"/>
      <c r="H4" s="1711"/>
      <c r="I4" s="1711"/>
      <c r="J4" s="1711"/>
      <c r="K4" s="1711"/>
      <c r="L4" s="1711"/>
      <c r="M4" s="1711"/>
      <c r="N4" s="1711"/>
      <c r="O4" s="1711"/>
    </row>
    <row r="5" spans="1:9" ht="19.5">
      <c r="A5" s="283"/>
      <c r="B5" s="283"/>
      <c r="C5" s="283"/>
      <c r="D5" s="283"/>
      <c r="E5" s="283"/>
      <c r="F5" s="283"/>
      <c r="G5" s="283"/>
      <c r="H5" s="283"/>
      <c r="I5" s="283"/>
    </row>
    <row r="6" spans="2:9" ht="20.25" customHeight="1" thickBot="1">
      <c r="B6" s="1708" t="s">
        <v>4</v>
      </c>
      <c r="C6" s="1708"/>
      <c r="D6" s="1708"/>
      <c r="E6" s="1708"/>
      <c r="F6" s="1708"/>
      <c r="G6" s="1708"/>
      <c r="H6" s="1708"/>
      <c r="I6" s="1708"/>
    </row>
    <row r="7" spans="1:15" ht="36.75" customHeight="1">
      <c r="A7" s="1718" t="s">
        <v>3</v>
      </c>
      <c r="B7" s="1705" t="s">
        <v>615</v>
      </c>
      <c r="C7" s="1706"/>
      <c r="D7" s="1706"/>
      <c r="E7" s="1707"/>
      <c r="F7" s="1709" t="s">
        <v>659</v>
      </c>
      <c r="G7" s="1706"/>
      <c r="H7" s="1706"/>
      <c r="I7" s="1707"/>
      <c r="J7" s="1705" t="s">
        <v>616</v>
      </c>
      <c r="K7" s="1706"/>
      <c r="L7" s="1706"/>
      <c r="M7" s="1707"/>
      <c r="N7" s="1705" t="s">
        <v>616</v>
      </c>
      <c r="O7" s="1706"/>
    </row>
    <row r="8" spans="1:15" ht="41.25" customHeight="1" thickBot="1">
      <c r="A8" s="1719"/>
      <c r="B8" s="15" t="s">
        <v>28</v>
      </c>
      <c r="C8" s="15" t="s">
        <v>202</v>
      </c>
      <c r="D8" s="15" t="s">
        <v>203</v>
      </c>
      <c r="E8" s="16" t="s">
        <v>1</v>
      </c>
      <c r="F8" s="412" t="s">
        <v>28</v>
      </c>
      <c r="G8" s="15" t="s">
        <v>202</v>
      </c>
      <c r="H8" s="15" t="s">
        <v>203</v>
      </c>
      <c r="I8" s="16" t="s">
        <v>1</v>
      </c>
      <c r="J8" s="15" t="s">
        <v>28</v>
      </c>
      <c r="K8" s="15" t="s">
        <v>202</v>
      </c>
      <c r="L8" s="15" t="s">
        <v>203</v>
      </c>
      <c r="M8" s="16" t="s">
        <v>1</v>
      </c>
      <c r="N8" s="16" t="s">
        <v>233</v>
      </c>
      <c r="O8" s="16" t="s">
        <v>1</v>
      </c>
    </row>
    <row r="9" spans="1:15" ht="30" customHeight="1">
      <c r="A9" s="14" t="s">
        <v>211</v>
      </c>
      <c r="B9" s="93">
        <v>17</v>
      </c>
      <c r="C9" s="93">
        <v>0</v>
      </c>
      <c r="D9" s="94">
        <v>1</v>
      </c>
      <c r="E9" s="224">
        <f>SUM(B9:C9)</f>
        <v>17</v>
      </c>
      <c r="F9" s="93">
        <v>18</v>
      </c>
      <c r="G9" s="93">
        <v>0</v>
      </c>
      <c r="H9" s="94">
        <v>1</v>
      </c>
      <c r="I9" s="224">
        <v>18</v>
      </c>
      <c r="J9" s="93">
        <v>17</v>
      </c>
      <c r="K9" s="93">
        <v>0</v>
      </c>
      <c r="L9" s="94">
        <v>1</v>
      </c>
      <c r="M9" s="224">
        <f>SUM(J9:K9)</f>
        <v>17</v>
      </c>
      <c r="N9" s="934">
        <v>17</v>
      </c>
      <c r="O9" s="933">
        <f>+N9/M9</f>
        <v>1</v>
      </c>
    </row>
    <row r="10" spans="1:15" ht="30" customHeight="1">
      <c r="A10" s="14" t="s">
        <v>212</v>
      </c>
      <c r="B10" s="93">
        <f>2+2+1</f>
        <v>5</v>
      </c>
      <c r="C10" s="93">
        <f>0.5+1.5+1</f>
        <v>3</v>
      </c>
      <c r="D10" s="93">
        <v>0</v>
      </c>
      <c r="E10" s="224">
        <f>SUM(B10:C10)</f>
        <v>8</v>
      </c>
      <c r="F10" s="93">
        <f>2+2+1</f>
        <v>5</v>
      </c>
      <c r="G10" s="93">
        <f>0.5+1.5+1+0.56</f>
        <v>3.56</v>
      </c>
      <c r="H10" s="93">
        <v>0</v>
      </c>
      <c r="I10" s="224">
        <v>9</v>
      </c>
      <c r="J10" s="93">
        <f>2+2+1</f>
        <v>5</v>
      </c>
      <c r="K10" s="93">
        <f>0.5+1.5+1+0.56</f>
        <v>3.56</v>
      </c>
      <c r="L10" s="93">
        <v>0</v>
      </c>
      <c r="M10" s="224">
        <v>9</v>
      </c>
      <c r="N10" s="934">
        <f>7.31+1</f>
        <v>8.309999999999999</v>
      </c>
      <c r="O10" s="933">
        <f>+N10/M10</f>
        <v>0.9233333333333332</v>
      </c>
    </row>
    <row r="11" spans="1:15" ht="30" customHeight="1" thickBot="1">
      <c r="A11" s="92" t="s">
        <v>213</v>
      </c>
      <c r="B11" s="95">
        <v>17</v>
      </c>
      <c r="C11" s="95">
        <v>8</v>
      </c>
      <c r="D11" s="95">
        <v>3</v>
      </c>
      <c r="E11" s="224">
        <f>SUM(B11:C11)</f>
        <v>25</v>
      </c>
      <c r="F11" s="95">
        <f>17+1.67</f>
        <v>18.67</v>
      </c>
      <c r="G11" s="95">
        <v>8</v>
      </c>
      <c r="H11" s="95">
        <v>3</v>
      </c>
      <c r="I11" s="224">
        <v>27</v>
      </c>
      <c r="J11" s="95">
        <v>18</v>
      </c>
      <c r="K11" s="95">
        <v>8</v>
      </c>
      <c r="L11" s="95">
        <v>3</v>
      </c>
      <c r="M11" s="224">
        <v>26</v>
      </c>
      <c r="N11" s="934">
        <v>25.47</v>
      </c>
      <c r="O11" s="933">
        <f>+N11/M11</f>
        <v>0.9796153846153846</v>
      </c>
    </row>
    <row r="12" spans="1:15" ht="54.75" customHeight="1" thickBot="1">
      <c r="A12" s="91" t="s">
        <v>24</v>
      </c>
      <c r="B12" s="188">
        <f aca="true" t="shared" si="0" ref="B12:N12">SUM(B9:B11)</f>
        <v>39</v>
      </c>
      <c r="C12" s="188">
        <f t="shared" si="0"/>
        <v>11</v>
      </c>
      <c r="D12" s="188">
        <f t="shared" si="0"/>
        <v>4</v>
      </c>
      <c r="E12" s="225">
        <f t="shared" si="0"/>
        <v>50</v>
      </c>
      <c r="F12" s="188">
        <f t="shared" si="0"/>
        <v>41.67</v>
      </c>
      <c r="G12" s="188">
        <f t="shared" si="0"/>
        <v>11.56</v>
      </c>
      <c r="H12" s="188">
        <f t="shared" si="0"/>
        <v>4</v>
      </c>
      <c r="I12" s="225">
        <f t="shared" si="0"/>
        <v>54</v>
      </c>
      <c r="J12" s="188">
        <f t="shared" si="0"/>
        <v>40</v>
      </c>
      <c r="K12" s="188">
        <f t="shared" si="0"/>
        <v>11.56</v>
      </c>
      <c r="L12" s="188">
        <f t="shared" si="0"/>
        <v>4</v>
      </c>
      <c r="M12" s="225">
        <f t="shared" si="0"/>
        <v>52</v>
      </c>
      <c r="N12" s="935">
        <f t="shared" si="0"/>
        <v>50.78</v>
      </c>
      <c r="O12" s="933">
        <f>+N12/M12</f>
        <v>0.9765384615384616</v>
      </c>
    </row>
    <row r="13" ht="13.5" thickBot="1">
      <c r="N13" s="936"/>
    </row>
    <row r="14" spans="1:15" ht="30.75" customHeight="1" thickBot="1">
      <c r="A14" s="1712" t="s">
        <v>51</v>
      </c>
      <c r="B14" s="1713"/>
      <c r="C14" s="1713"/>
      <c r="D14" s="1714"/>
      <c r="E14" s="226">
        <v>8</v>
      </c>
      <c r="F14" s="1715"/>
      <c r="G14" s="1716"/>
      <c r="H14" s="1717"/>
      <c r="I14" s="226">
        <v>8</v>
      </c>
      <c r="J14" s="1715"/>
      <c r="K14" s="1716"/>
      <c r="L14" s="1717"/>
      <c r="M14" s="226">
        <v>8</v>
      </c>
      <c r="N14" s="937">
        <v>6.25</v>
      </c>
      <c r="O14" s="224">
        <f>+N14/M14</f>
        <v>0.78125</v>
      </c>
    </row>
    <row r="16" ht="12.75">
      <c r="A16" s="20" t="s">
        <v>105</v>
      </c>
    </row>
    <row r="18" spans="5:9" ht="12.75">
      <c r="E18" s="223"/>
      <c r="F18" s="223"/>
      <c r="G18" s="223"/>
      <c r="H18" s="223"/>
      <c r="I18" s="223"/>
    </row>
  </sheetData>
  <sheetProtection/>
  <mergeCells count="11">
    <mergeCell ref="A14:D14"/>
    <mergeCell ref="F14:H14"/>
    <mergeCell ref="J7:M7"/>
    <mergeCell ref="J14:L14"/>
    <mergeCell ref="A7:A8"/>
    <mergeCell ref="B7:E7"/>
    <mergeCell ref="B6:I6"/>
    <mergeCell ref="F7:I7"/>
    <mergeCell ref="N7:O7"/>
    <mergeCell ref="D2:O2"/>
    <mergeCell ref="A4:O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60" workbookViewId="0" topLeftCell="A4">
      <selection activeCell="B7" sqref="B7:E16"/>
    </sheetView>
  </sheetViews>
  <sheetFormatPr defaultColWidth="9.140625" defaultRowHeight="12.75"/>
  <cols>
    <col min="1" max="1" width="41.00390625" style="1049" customWidth="1"/>
    <col min="2" max="2" width="15.57421875" style="1049" bestFit="1" customWidth="1"/>
    <col min="3" max="3" width="15.00390625" style="1049" bestFit="1" customWidth="1"/>
    <col min="4" max="4" width="18.00390625" style="1049" customWidth="1"/>
    <col min="5" max="5" width="12.8515625" style="1049" customWidth="1"/>
    <col min="6" max="16384" width="9.140625" style="1049" customWidth="1"/>
  </cols>
  <sheetData>
    <row r="1" spans="1:5" ht="12.75">
      <c r="A1" s="1720" t="s">
        <v>391</v>
      </c>
      <c r="B1" s="1720"/>
      <c r="C1" s="1720"/>
      <c r="D1" s="1720"/>
      <c r="E1" s="1720"/>
    </row>
    <row r="3" spans="1:5" ht="12.75">
      <c r="A3" s="1721" t="s">
        <v>744</v>
      </c>
      <c r="B3" s="1721"/>
      <c r="C3" s="1721"/>
      <c r="D3" s="1721"/>
      <c r="E3" s="1721"/>
    </row>
    <row r="5" spans="1:5" ht="12.75">
      <c r="A5" s="1722" t="s">
        <v>465</v>
      </c>
      <c r="B5" s="1722"/>
      <c r="C5" s="1722"/>
      <c r="D5" s="1722"/>
      <c r="E5" s="1722"/>
    </row>
    <row r="6" spans="1:5" ht="38.25">
      <c r="A6" s="1050" t="s">
        <v>3</v>
      </c>
      <c r="B6" s="1050" t="s">
        <v>212</v>
      </c>
      <c r="C6" s="1050" t="s">
        <v>745</v>
      </c>
      <c r="D6" s="1050" t="s">
        <v>213</v>
      </c>
      <c r="E6" s="1050" t="s">
        <v>1</v>
      </c>
    </row>
    <row r="7" spans="1:5" ht="12.75">
      <c r="A7" s="1051" t="s">
        <v>746</v>
      </c>
      <c r="B7" s="1052">
        <v>779136348</v>
      </c>
      <c r="C7" s="1053">
        <v>7779313</v>
      </c>
      <c r="D7" s="1053">
        <v>35464020</v>
      </c>
      <c r="E7" s="1054">
        <f>SUM(B7:D7)</f>
        <v>822379681</v>
      </c>
    </row>
    <row r="8" spans="1:5" ht="12.75">
      <c r="A8" s="1051" t="s">
        <v>747</v>
      </c>
      <c r="B8" s="1052">
        <v>435765676</v>
      </c>
      <c r="C8" s="1053">
        <v>107622437</v>
      </c>
      <c r="D8" s="1053">
        <v>165241520</v>
      </c>
      <c r="E8" s="1054">
        <f aca="true" t="shared" si="0" ref="E8:E15">SUM(B8:D8)</f>
        <v>708629633</v>
      </c>
    </row>
    <row r="9" spans="1:5" ht="12.75">
      <c r="A9" s="1055" t="s">
        <v>748</v>
      </c>
      <c r="B9" s="1057">
        <f>+B7-B8</f>
        <v>343370672</v>
      </c>
      <c r="C9" s="1057">
        <f>+C7-C8</f>
        <v>-99843124</v>
      </c>
      <c r="D9" s="1057">
        <f>+D7-D8</f>
        <v>-129777500</v>
      </c>
      <c r="E9" s="1057">
        <f>+E7-E8</f>
        <v>113750048</v>
      </c>
    </row>
    <row r="10" spans="1:5" ht="12.75">
      <c r="A10" s="1051" t="s">
        <v>749</v>
      </c>
      <c r="B10" s="1052">
        <v>200528232</v>
      </c>
      <c r="C10" s="1053">
        <v>101923877</v>
      </c>
      <c r="D10" s="1053">
        <v>132060762</v>
      </c>
      <c r="E10" s="1054">
        <f t="shared" si="0"/>
        <v>434512871</v>
      </c>
    </row>
    <row r="11" spans="1:5" ht="12.75">
      <c r="A11" s="1051" t="s">
        <v>750</v>
      </c>
      <c r="B11" s="1052">
        <v>243983366</v>
      </c>
      <c r="C11" s="1053">
        <v>0</v>
      </c>
      <c r="D11" s="1053">
        <v>0</v>
      </c>
      <c r="E11" s="1054">
        <f t="shared" si="0"/>
        <v>243983366</v>
      </c>
    </row>
    <row r="12" spans="1:5" ht="12.75">
      <c r="A12" s="1055" t="s">
        <v>751</v>
      </c>
      <c r="B12" s="1057">
        <f>+B10-B11</f>
        <v>-43455134</v>
      </c>
      <c r="C12" s="1057">
        <f>+C10-C11</f>
        <v>101923877</v>
      </c>
      <c r="D12" s="1057">
        <f>+D10-D11</f>
        <v>132060762</v>
      </c>
      <c r="E12" s="1057">
        <f>+E10-E11</f>
        <v>190529505</v>
      </c>
    </row>
    <row r="13" spans="1:5" ht="12.75">
      <c r="A13" s="1055" t="s">
        <v>752</v>
      </c>
      <c r="B13" s="1057">
        <f>+B9+B12</f>
        <v>299915538</v>
      </c>
      <c r="C13" s="1057">
        <f>+C9+C12</f>
        <v>2080753</v>
      </c>
      <c r="D13" s="1057">
        <f>+D9+D12</f>
        <v>2283262</v>
      </c>
      <c r="E13" s="1057">
        <f>+E9+E12</f>
        <v>304279553</v>
      </c>
    </row>
    <row r="14" spans="1:5" ht="12.75">
      <c r="A14" s="1055" t="s">
        <v>753</v>
      </c>
      <c r="B14" s="1057">
        <f>+B13</f>
        <v>299915538</v>
      </c>
      <c r="C14" s="1057">
        <f>+C13</f>
        <v>2080753</v>
      </c>
      <c r="D14" s="1057">
        <f>+D13</f>
        <v>2283262</v>
      </c>
      <c r="E14" s="1057">
        <f>+E13</f>
        <v>304279553</v>
      </c>
    </row>
    <row r="15" spans="1:5" ht="25.5">
      <c r="A15" s="1055" t="s">
        <v>754</v>
      </c>
      <c r="B15" s="1056">
        <v>48000</v>
      </c>
      <c r="C15" s="1057">
        <v>0</v>
      </c>
      <c r="D15" s="1057"/>
      <c r="E15" s="1058">
        <f t="shared" si="0"/>
        <v>48000</v>
      </c>
    </row>
    <row r="16" spans="1:5" ht="12.75">
      <c r="A16" s="1055" t="s">
        <v>755</v>
      </c>
      <c r="B16" s="1057">
        <f>+B14-B15</f>
        <v>299867538</v>
      </c>
      <c r="C16" s="1057">
        <f>+C14-C15</f>
        <v>2080753</v>
      </c>
      <c r="D16" s="1057">
        <f>+D14-D15</f>
        <v>2283262</v>
      </c>
      <c r="E16" s="1057">
        <f>+E14-E15</f>
        <v>304231553</v>
      </c>
    </row>
  </sheetData>
  <sheetProtection/>
  <mergeCells count="3">
    <mergeCell ref="A1:E1"/>
    <mergeCell ref="A3:E3"/>
    <mergeCell ref="A5:E5"/>
  </mergeCells>
  <printOptions/>
  <pageMargins left="0.75" right="0.75" top="1" bottom="1" header="0.5" footer="0.5"/>
  <pageSetup horizontalDpi="300" verticalDpi="300" orientation="portrait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I27" sqref="I27"/>
    </sheetView>
  </sheetViews>
  <sheetFormatPr defaultColWidth="9.140625" defaultRowHeight="12.75"/>
  <cols>
    <col min="1" max="1" width="41.00390625" style="1049" customWidth="1"/>
    <col min="2" max="2" width="15.421875" style="1049" bestFit="1" customWidth="1"/>
    <col min="3" max="3" width="16.00390625" style="1049" bestFit="1" customWidth="1"/>
    <col min="4" max="7" width="10.7109375" style="1049" bestFit="1" customWidth="1"/>
    <col min="8" max="9" width="12.8515625" style="1049" bestFit="1" customWidth="1"/>
    <col min="10" max="16384" width="9.140625" style="1049" customWidth="1"/>
  </cols>
  <sheetData>
    <row r="1" spans="1:9" ht="12.75">
      <c r="A1" s="1720" t="s">
        <v>984</v>
      </c>
      <c r="B1" s="1720"/>
      <c r="C1" s="1720"/>
      <c r="D1" s="1720"/>
      <c r="E1" s="1720"/>
      <c r="F1" s="1720"/>
      <c r="G1" s="1720"/>
      <c r="H1" s="1720"/>
      <c r="I1" s="1720"/>
    </row>
    <row r="2" spans="1:9" ht="12.75">
      <c r="A2" s="1721" t="s">
        <v>705</v>
      </c>
      <c r="B2" s="1721"/>
      <c r="C2" s="1721"/>
      <c r="D2" s="1721"/>
      <c r="E2" s="1721"/>
      <c r="F2" s="1721"/>
      <c r="G2" s="1721"/>
      <c r="H2" s="1721"/>
      <c r="I2" s="1721"/>
    </row>
    <row r="3" spans="1:9" ht="12.75">
      <c r="A3" s="1721" t="s">
        <v>985</v>
      </c>
      <c r="B3" s="1721"/>
      <c r="C3" s="1721"/>
      <c r="D3" s="1721"/>
      <c r="E3" s="1721"/>
      <c r="F3" s="1721"/>
      <c r="G3" s="1721"/>
      <c r="H3" s="1721"/>
      <c r="I3" s="1721"/>
    </row>
    <row r="6" spans="1:9" ht="12.75">
      <c r="A6" s="1722" t="s">
        <v>465</v>
      </c>
      <c r="B6" s="1722"/>
      <c r="C6" s="1722"/>
      <c r="D6" s="1722"/>
      <c r="E6" s="1722"/>
      <c r="F6" s="1722"/>
      <c r="G6" s="1722"/>
      <c r="H6" s="1722"/>
      <c r="I6" s="1722"/>
    </row>
    <row r="7" spans="1:9" ht="30.75" customHeight="1">
      <c r="A7" s="1183"/>
      <c r="B7" s="1723" t="s">
        <v>212</v>
      </c>
      <c r="C7" s="1723"/>
      <c r="D7" s="1723" t="s">
        <v>745</v>
      </c>
      <c r="E7" s="1723"/>
      <c r="F7" s="1723" t="s">
        <v>213</v>
      </c>
      <c r="G7" s="1723"/>
      <c r="H7" s="1723" t="s">
        <v>983</v>
      </c>
      <c r="I7" s="1723"/>
    </row>
    <row r="8" spans="1:9" ht="25.5">
      <c r="A8" s="1184" t="s">
        <v>3</v>
      </c>
      <c r="B8" s="1184" t="s">
        <v>918</v>
      </c>
      <c r="C8" s="1184" t="s">
        <v>919</v>
      </c>
      <c r="D8" s="1184" t="s">
        <v>918</v>
      </c>
      <c r="E8" s="1184" t="s">
        <v>919</v>
      </c>
      <c r="F8" s="1184" t="s">
        <v>918</v>
      </c>
      <c r="G8" s="1184" t="s">
        <v>919</v>
      </c>
      <c r="H8" s="1184" t="s">
        <v>918</v>
      </c>
      <c r="I8" s="1184" t="s">
        <v>919</v>
      </c>
    </row>
    <row r="9" spans="1:9" ht="12.75">
      <c r="A9" s="1185" t="s">
        <v>920</v>
      </c>
      <c r="B9" s="1186">
        <v>7302898</v>
      </c>
      <c r="C9" s="1186">
        <v>5687860</v>
      </c>
      <c r="D9" s="1187">
        <v>0</v>
      </c>
      <c r="E9" s="1187">
        <v>0</v>
      </c>
      <c r="F9" s="1187">
        <v>0</v>
      </c>
      <c r="G9" s="1187">
        <v>0</v>
      </c>
      <c r="H9" s="1187">
        <f aca="true" t="shared" si="0" ref="H9:H29">+B9+D9+F9</f>
        <v>7302898</v>
      </c>
      <c r="I9" s="1187">
        <f aca="true" t="shared" si="1" ref="I9:I29">+C9+E9+G9</f>
        <v>5687860</v>
      </c>
    </row>
    <row r="10" spans="1:9" ht="12.75">
      <c r="A10" s="1188" t="s">
        <v>921</v>
      </c>
      <c r="B10" s="1189">
        <v>7302898</v>
      </c>
      <c r="C10" s="1189">
        <v>5687860</v>
      </c>
      <c r="D10" s="1190">
        <v>0</v>
      </c>
      <c r="E10" s="1190">
        <v>0</v>
      </c>
      <c r="F10" s="1190">
        <v>0</v>
      </c>
      <c r="G10" s="1190">
        <v>0</v>
      </c>
      <c r="H10" s="1190">
        <f t="shared" si="0"/>
        <v>7302898</v>
      </c>
      <c r="I10" s="1190">
        <f t="shared" si="1"/>
        <v>5687860</v>
      </c>
    </row>
    <row r="11" spans="1:9" ht="25.5">
      <c r="A11" s="1185" t="s">
        <v>922</v>
      </c>
      <c r="B11" s="1186">
        <v>933654468</v>
      </c>
      <c r="C11" s="1186">
        <v>1092230634</v>
      </c>
      <c r="D11" s="1187">
        <v>0</v>
      </c>
      <c r="E11" s="1187">
        <v>0</v>
      </c>
      <c r="F11" s="1187">
        <v>0</v>
      </c>
      <c r="G11" s="1187">
        <v>0</v>
      </c>
      <c r="H11" s="1187">
        <f t="shared" si="0"/>
        <v>933654468</v>
      </c>
      <c r="I11" s="1187">
        <f t="shared" si="1"/>
        <v>1092230634</v>
      </c>
    </row>
    <row r="12" spans="1:9" ht="25.5">
      <c r="A12" s="1185" t="s">
        <v>923</v>
      </c>
      <c r="B12" s="1186">
        <v>4160689</v>
      </c>
      <c r="C12" s="1186">
        <v>25553126</v>
      </c>
      <c r="D12" s="1187">
        <v>84412</v>
      </c>
      <c r="E12" s="1187">
        <v>409142</v>
      </c>
      <c r="F12" s="1187">
        <v>2121662</v>
      </c>
      <c r="G12" s="1187">
        <v>1708539</v>
      </c>
      <c r="H12" s="1187">
        <f t="shared" si="0"/>
        <v>6366763</v>
      </c>
      <c r="I12" s="1187">
        <f t="shared" si="1"/>
        <v>27670807</v>
      </c>
    </row>
    <row r="13" spans="1:9" ht="12.75">
      <c r="A13" s="1185" t="s">
        <v>924</v>
      </c>
      <c r="B13" s="1186">
        <v>161299684</v>
      </c>
      <c r="C13" s="1186">
        <v>10371912</v>
      </c>
      <c r="D13" s="1187">
        <v>0</v>
      </c>
      <c r="E13" s="1187">
        <v>0</v>
      </c>
      <c r="F13" s="1187">
        <v>0</v>
      </c>
      <c r="G13" s="1187">
        <v>0</v>
      </c>
      <c r="H13" s="1187">
        <f t="shared" si="0"/>
        <v>161299684</v>
      </c>
      <c r="I13" s="1187">
        <f t="shared" si="1"/>
        <v>10371912</v>
      </c>
    </row>
    <row r="14" spans="1:9" ht="12.75">
      <c r="A14" s="1188" t="s">
        <v>925</v>
      </c>
      <c r="B14" s="1189">
        <v>1099114841</v>
      </c>
      <c r="C14" s="1189">
        <v>1128155672</v>
      </c>
      <c r="D14" s="1190">
        <v>84412</v>
      </c>
      <c r="E14" s="1190">
        <v>409142</v>
      </c>
      <c r="F14" s="1190">
        <v>2121662</v>
      </c>
      <c r="G14" s="1190">
        <v>1708539</v>
      </c>
      <c r="H14" s="1190">
        <f t="shared" si="0"/>
        <v>1101320915</v>
      </c>
      <c r="I14" s="1190">
        <f t="shared" si="1"/>
        <v>1130273353</v>
      </c>
    </row>
    <row r="15" spans="1:9" ht="25.5">
      <c r="A15" s="1185" t="s">
        <v>926</v>
      </c>
      <c r="B15" s="1186">
        <v>11580000</v>
      </c>
      <c r="C15" s="1186">
        <v>11580000</v>
      </c>
      <c r="D15" s="1187">
        <v>0</v>
      </c>
      <c r="E15" s="1187">
        <v>0</v>
      </c>
      <c r="F15" s="1187">
        <v>0</v>
      </c>
      <c r="G15" s="1187">
        <v>0</v>
      </c>
      <c r="H15" s="1187">
        <f t="shared" si="0"/>
        <v>11580000</v>
      </c>
      <c r="I15" s="1187">
        <f t="shared" si="1"/>
        <v>11580000</v>
      </c>
    </row>
    <row r="16" spans="1:9" ht="25.5">
      <c r="A16" s="1185" t="s">
        <v>927</v>
      </c>
      <c r="B16" s="1186">
        <v>11580000</v>
      </c>
      <c r="C16" s="1186">
        <v>11580000</v>
      </c>
      <c r="D16" s="1187">
        <v>0</v>
      </c>
      <c r="E16" s="1187">
        <v>0</v>
      </c>
      <c r="F16" s="1187">
        <v>0</v>
      </c>
      <c r="G16" s="1187">
        <v>0</v>
      </c>
      <c r="H16" s="1187">
        <f t="shared" si="0"/>
        <v>11580000</v>
      </c>
      <c r="I16" s="1187">
        <f t="shared" si="1"/>
        <v>11580000</v>
      </c>
    </row>
    <row r="17" spans="1:9" ht="25.5">
      <c r="A17" s="1188" t="s">
        <v>928</v>
      </c>
      <c r="B17" s="1189">
        <v>11580000</v>
      </c>
      <c r="C17" s="1189">
        <v>11580000</v>
      </c>
      <c r="D17" s="1190">
        <v>0</v>
      </c>
      <c r="E17" s="1190">
        <v>0</v>
      </c>
      <c r="F17" s="1190">
        <v>0</v>
      </c>
      <c r="G17" s="1190">
        <v>0</v>
      </c>
      <c r="H17" s="1190">
        <f t="shared" si="0"/>
        <v>11580000</v>
      </c>
      <c r="I17" s="1190">
        <f t="shared" si="1"/>
        <v>11580000</v>
      </c>
    </row>
    <row r="18" spans="1:9" ht="25.5">
      <c r="A18" s="1185" t="s">
        <v>929</v>
      </c>
      <c r="B18" s="1186">
        <v>363207158</v>
      </c>
      <c r="C18" s="1186">
        <v>369181548</v>
      </c>
      <c r="D18" s="1187">
        <v>0</v>
      </c>
      <c r="E18" s="1187">
        <v>0</v>
      </c>
      <c r="F18" s="1187">
        <v>0</v>
      </c>
      <c r="G18" s="1187">
        <v>0</v>
      </c>
      <c r="H18" s="1187">
        <f t="shared" si="0"/>
        <v>363207158</v>
      </c>
      <c r="I18" s="1187">
        <f t="shared" si="1"/>
        <v>369181548</v>
      </c>
    </row>
    <row r="19" spans="1:9" ht="12.75">
      <c r="A19" s="1185" t="s">
        <v>930</v>
      </c>
      <c r="B19" s="1186">
        <v>363207158</v>
      </c>
      <c r="C19" s="1186">
        <v>369181548</v>
      </c>
      <c r="D19" s="1187">
        <v>0</v>
      </c>
      <c r="E19" s="1187">
        <v>0</v>
      </c>
      <c r="F19" s="1187">
        <v>0</v>
      </c>
      <c r="G19" s="1187">
        <v>0</v>
      </c>
      <c r="H19" s="1187">
        <f t="shared" si="0"/>
        <v>363207158</v>
      </c>
      <c r="I19" s="1187">
        <f t="shared" si="1"/>
        <v>369181548</v>
      </c>
    </row>
    <row r="20" spans="1:9" ht="25.5">
      <c r="A20" s="1188" t="s">
        <v>931</v>
      </c>
      <c r="B20" s="1189">
        <v>363207158</v>
      </c>
      <c r="C20" s="1189">
        <v>369181548</v>
      </c>
      <c r="D20" s="1190">
        <v>0</v>
      </c>
      <c r="E20" s="1190">
        <v>0</v>
      </c>
      <c r="F20" s="1190">
        <v>0</v>
      </c>
      <c r="G20" s="1190">
        <v>0</v>
      </c>
      <c r="H20" s="1190">
        <f t="shared" si="0"/>
        <v>363207158</v>
      </c>
      <c r="I20" s="1190">
        <f t="shared" si="1"/>
        <v>369181548</v>
      </c>
    </row>
    <row r="21" spans="1:9" ht="38.25">
      <c r="A21" s="1188" t="s">
        <v>932</v>
      </c>
      <c r="B21" s="1189">
        <v>1481204897</v>
      </c>
      <c r="C21" s="1189">
        <v>1514605080</v>
      </c>
      <c r="D21" s="1190">
        <v>84412</v>
      </c>
      <c r="E21" s="1190">
        <v>409142</v>
      </c>
      <c r="F21" s="1190">
        <v>2121662</v>
      </c>
      <c r="G21" s="1190">
        <v>1708539</v>
      </c>
      <c r="H21" s="1190">
        <f t="shared" si="0"/>
        <v>1483410971</v>
      </c>
      <c r="I21" s="1190">
        <f t="shared" si="1"/>
        <v>1516722761</v>
      </c>
    </row>
    <row r="22" spans="1:9" ht="12.75">
      <c r="A22" s="1185" t="s">
        <v>933</v>
      </c>
      <c r="B22" s="1186">
        <v>2640000</v>
      </c>
      <c r="C22" s="1186">
        <v>0</v>
      </c>
      <c r="D22" s="1187">
        <v>0</v>
      </c>
      <c r="E22" s="1187">
        <v>0</v>
      </c>
      <c r="F22" s="1187">
        <v>382144</v>
      </c>
      <c r="G22" s="1187">
        <v>291518</v>
      </c>
      <c r="H22" s="1187">
        <f t="shared" si="0"/>
        <v>3022144</v>
      </c>
      <c r="I22" s="1187">
        <f t="shared" si="1"/>
        <v>291518</v>
      </c>
    </row>
    <row r="23" spans="1:9" ht="12.75">
      <c r="A23" s="1188" t="s">
        <v>934</v>
      </c>
      <c r="B23" s="1189">
        <v>2640000</v>
      </c>
      <c r="C23" s="1189">
        <v>0</v>
      </c>
      <c r="D23" s="1190">
        <v>0</v>
      </c>
      <c r="E23" s="1190">
        <v>0</v>
      </c>
      <c r="F23" s="1190">
        <v>382144</v>
      </c>
      <c r="G23" s="1190">
        <v>291518</v>
      </c>
      <c r="H23" s="1190">
        <f t="shared" si="0"/>
        <v>3022144</v>
      </c>
      <c r="I23" s="1190">
        <f t="shared" si="1"/>
        <v>291518</v>
      </c>
    </row>
    <row r="24" spans="1:9" ht="25.5">
      <c r="A24" s="1188" t="s">
        <v>935</v>
      </c>
      <c r="B24" s="1189">
        <v>2640000</v>
      </c>
      <c r="C24" s="1189">
        <v>0</v>
      </c>
      <c r="D24" s="1190">
        <v>0</v>
      </c>
      <c r="E24" s="1190">
        <v>0</v>
      </c>
      <c r="F24" s="1190">
        <v>382144</v>
      </c>
      <c r="G24" s="1190">
        <v>291518</v>
      </c>
      <c r="H24" s="1190">
        <f t="shared" si="0"/>
        <v>3022144</v>
      </c>
      <c r="I24" s="1190">
        <f t="shared" si="1"/>
        <v>291518</v>
      </c>
    </row>
    <row r="25" spans="1:9" ht="12.75">
      <c r="A25" s="1185" t="s">
        <v>936</v>
      </c>
      <c r="B25" s="1186">
        <v>159720987</v>
      </c>
      <c r="C25" s="1186">
        <v>285118422</v>
      </c>
      <c r="D25" s="1187">
        <v>900462</v>
      </c>
      <c r="E25" s="1187">
        <v>2081317</v>
      </c>
      <c r="F25" s="1187">
        <v>2014559</v>
      </c>
      <c r="G25" s="1187">
        <v>2616652</v>
      </c>
      <c r="H25" s="1187">
        <f t="shared" si="0"/>
        <v>162636008</v>
      </c>
      <c r="I25" s="1187">
        <f t="shared" si="1"/>
        <v>289816391</v>
      </c>
    </row>
    <row r="26" spans="1:9" ht="12.75">
      <c r="A26" s="1185" t="s">
        <v>937</v>
      </c>
      <c r="B26" s="1186">
        <v>29784910</v>
      </c>
      <c r="C26" s="1186">
        <v>15635794</v>
      </c>
      <c r="D26" s="1187">
        <v>0</v>
      </c>
      <c r="E26" s="1187">
        <v>0</v>
      </c>
      <c r="F26" s="1187">
        <v>0</v>
      </c>
      <c r="G26" s="1187">
        <v>0</v>
      </c>
      <c r="H26" s="1187">
        <f t="shared" si="0"/>
        <v>29784910</v>
      </c>
      <c r="I26" s="1187">
        <f t="shared" si="1"/>
        <v>15635794</v>
      </c>
    </row>
    <row r="27" spans="1:9" ht="12.75">
      <c r="A27" s="1188" t="s">
        <v>938</v>
      </c>
      <c r="B27" s="1189">
        <v>189505897</v>
      </c>
      <c r="C27" s="1189">
        <v>300754216</v>
      </c>
      <c r="D27" s="1190">
        <v>900462</v>
      </c>
      <c r="E27" s="1190">
        <v>2081317</v>
      </c>
      <c r="F27" s="1190">
        <v>2014559</v>
      </c>
      <c r="G27" s="1190">
        <v>2616652</v>
      </c>
      <c r="H27" s="1190">
        <f t="shared" si="0"/>
        <v>192420918</v>
      </c>
      <c r="I27" s="1190">
        <f t="shared" si="1"/>
        <v>305452185</v>
      </c>
    </row>
    <row r="28" spans="1:9" ht="12.75">
      <c r="A28" s="1188" t="s">
        <v>939</v>
      </c>
      <c r="B28" s="1189">
        <v>189505897</v>
      </c>
      <c r="C28" s="1189">
        <v>300754216</v>
      </c>
      <c r="D28" s="1190">
        <v>900462</v>
      </c>
      <c r="E28" s="1190">
        <v>2081317</v>
      </c>
      <c r="F28" s="1190">
        <v>2014559</v>
      </c>
      <c r="G28" s="1190">
        <v>2616652</v>
      </c>
      <c r="H28" s="1190">
        <f t="shared" si="0"/>
        <v>192420918</v>
      </c>
      <c r="I28" s="1190">
        <f t="shared" si="1"/>
        <v>305452185</v>
      </c>
    </row>
    <row r="29" spans="1:9" ht="38.25">
      <c r="A29" s="1185" t="s">
        <v>940</v>
      </c>
      <c r="B29" s="1186">
        <v>2228079</v>
      </c>
      <c r="C29" s="1186">
        <v>4593077</v>
      </c>
      <c r="D29" s="1187">
        <v>0</v>
      </c>
      <c r="E29" s="1187">
        <v>0</v>
      </c>
      <c r="F29" s="1187">
        <v>0</v>
      </c>
      <c r="G29" s="1187">
        <v>0</v>
      </c>
      <c r="H29" s="1187">
        <f t="shared" si="0"/>
        <v>2228079</v>
      </c>
      <c r="I29" s="1187">
        <f t="shared" si="1"/>
        <v>4593077</v>
      </c>
    </row>
    <row r="30" spans="1:9" ht="25.5">
      <c r="A30" s="1185" t="s">
        <v>941</v>
      </c>
      <c r="B30" s="1186">
        <v>92331</v>
      </c>
      <c r="C30" s="1186">
        <v>568160</v>
      </c>
      <c r="D30" s="1187">
        <v>0</v>
      </c>
      <c r="E30" s="1187">
        <v>0</v>
      </c>
      <c r="F30" s="1187">
        <v>0</v>
      </c>
      <c r="G30" s="1187">
        <v>0</v>
      </c>
      <c r="H30" s="1187">
        <f aca="true" t="shared" si="2" ref="H30:H37">+B30+D30+F30</f>
        <v>92331</v>
      </c>
      <c r="I30" s="1187">
        <f aca="true" t="shared" si="3" ref="I30:I37">+C30+E30+G30</f>
        <v>568160</v>
      </c>
    </row>
    <row r="31" spans="1:9" ht="25.5">
      <c r="A31" s="1185" t="s">
        <v>942</v>
      </c>
      <c r="B31" s="1186">
        <v>1624746</v>
      </c>
      <c r="C31" s="1186">
        <v>2511168</v>
      </c>
      <c r="D31" s="1187">
        <v>0</v>
      </c>
      <c r="E31" s="1187">
        <v>0</v>
      </c>
      <c r="F31" s="1187">
        <v>0</v>
      </c>
      <c r="G31" s="1187">
        <v>0</v>
      </c>
      <c r="H31" s="1187">
        <f t="shared" si="2"/>
        <v>1624746</v>
      </c>
      <c r="I31" s="1187">
        <f t="shared" si="3"/>
        <v>2511168</v>
      </c>
    </row>
    <row r="32" spans="1:9" ht="25.5">
      <c r="A32" s="1185" t="s">
        <v>943</v>
      </c>
      <c r="B32" s="1186">
        <v>511002</v>
      </c>
      <c r="C32" s="1186">
        <v>1513749</v>
      </c>
      <c r="D32" s="1187">
        <v>0</v>
      </c>
      <c r="E32" s="1187">
        <v>0</v>
      </c>
      <c r="F32" s="1187">
        <v>0</v>
      </c>
      <c r="G32" s="1187">
        <v>0</v>
      </c>
      <c r="H32" s="1187">
        <f t="shared" si="2"/>
        <v>511002</v>
      </c>
      <c r="I32" s="1187">
        <f t="shared" si="3"/>
        <v>1513749</v>
      </c>
    </row>
    <row r="33" spans="1:9" ht="38.25">
      <c r="A33" s="1185" t="s">
        <v>944</v>
      </c>
      <c r="B33" s="1186">
        <v>0</v>
      </c>
      <c r="C33" s="1186">
        <v>0</v>
      </c>
      <c r="D33" s="1187">
        <v>0</v>
      </c>
      <c r="E33" s="1187">
        <v>0</v>
      </c>
      <c r="F33" s="1187">
        <v>21600</v>
      </c>
      <c r="G33" s="1187">
        <v>75500</v>
      </c>
      <c r="H33" s="1187">
        <f t="shared" si="2"/>
        <v>21600</v>
      </c>
      <c r="I33" s="1187">
        <f t="shared" si="3"/>
        <v>75500</v>
      </c>
    </row>
    <row r="34" spans="1:9" ht="51">
      <c r="A34" s="1185" t="s">
        <v>945</v>
      </c>
      <c r="B34" s="1186">
        <v>0</v>
      </c>
      <c r="C34" s="1186">
        <v>0</v>
      </c>
      <c r="D34" s="1187">
        <v>0</v>
      </c>
      <c r="E34" s="1187">
        <v>0</v>
      </c>
      <c r="F34" s="1187">
        <v>2237</v>
      </c>
      <c r="G34" s="1187">
        <v>10945</v>
      </c>
      <c r="H34" s="1187">
        <f t="shared" si="2"/>
        <v>2237</v>
      </c>
      <c r="I34" s="1187">
        <f t="shared" si="3"/>
        <v>10945</v>
      </c>
    </row>
    <row r="35" spans="1:9" ht="25.5">
      <c r="A35" s="1185" t="s">
        <v>946</v>
      </c>
      <c r="B35" s="1186">
        <v>0</v>
      </c>
      <c r="C35" s="1186">
        <v>0</v>
      </c>
      <c r="D35" s="1187">
        <v>0</v>
      </c>
      <c r="E35" s="1187">
        <v>0</v>
      </c>
      <c r="F35" s="1187">
        <v>14771</v>
      </c>
      <c r="G35" s="1187">
        <v>48505</v>
      </c>
      <c r="H35" s="1187">
        <f t="shared" si="2"/>
        <v>14771</v>
      </c>
      <c r="I35" s="1187">
        <f t="shared" si="3"/>
        <v>48505</v>
      </c>
    </row>
    <row r="36" spans="1:9" ht="38.25">
      <c r="A36" s="1185" t="s">
        <v>947</v>
      </c>
      <c r="B36" s="1186">
        <v>0</v>
      </c>
      <c r="C36" s="1186">
        <v>0</v>
      </c>
      <c r="D36" s="1187">
        <v>0</v>
      </c>
      <c r="E36" s="1187">
        <v>0</v>
      </c>
      <c r="F36" s="1187">
        <v>4592</v>
      </c>
      <c r="G36" s="1187">
        <v>16050</v>
      </c>
      <c r="H36" s="1187">
        <f t="shared" si="2"/>
        <v>4592</v>
      </c>
      <c r="I36" s="1187">
        <f t="shared" si="3"/>
        <v>16050</v>
      </c>
    </row>
    <row r="37" spans="1:9" ht="25.5">
      <c r="A37" s="1188" t="s">
        <v>948</v>
      </c>
      <c r="B37" s="1189">
        <v>2228079</v>
      </c>
      <c r="C37" s="1189">
        <v>4593077</v>
      </c>
      <c r="D37" s="1190">
        <v>0</v>
      </c>
      <c r="E37" s="1190">
        <v>0</v>
      </c>
      <c r="F37" s="1190">
        <v>21600</v>
      </c>
      <c r="G37" s="1190">
        <v>75500</v>
      </c>
      <c r="H37" s="1190">
        <f t="shared" si="2"/>
        <v>2249679</v>
      </c>
      <c r="I37" s="1190">
        <f t="shared" si="3"/>
        <v>4668577</v>
      </c>
    </row>
    <row r="38" spans="1:9" ht="12.75">
      <c r="A38" s="1185" t="s">
        <v>949</v>
      </c>
      <c r="B38" s="1186">
        <v>155317</v>
      </c>
      <c r="C38" s="1186">
        <v>96521</v>
      </c>
      <c r="D38" s="1187">
        <v>564</v>
      </c>
      <c r="E38" s="1187">
        <v>0</v>
      </c>
      <c r="F38" s="1187">
        <v>1888966</v>
      </c>
      <c r="G38" s="1187">
        <v>1888966</v>
      </c>
      <c r="H38" s="1187">
        <f aca="true" t="shared" si="4" ref="H38:H57">+B38+D38+F38</f>
        <v>2044847</v>
      </c>
      <c r="I38" s="1187">
        <f aca="true" t="shared" si="5" ref="I38:I57">+C38+E38+G38</f>
        <v>1985487</v>
      </c>
    </row>
    <row r="39" spans="1:9" ht="12.75">
      <c r="A39" s="1185" t="s">
        <v>950</v>
      </c>
      <c r="B39" s="1186">
        <v>155317</v>
      </c>
      <c r="C39" s="1186">
        <v>96521</v>
      </c>
      <c r="D39" s="1187">
        <v>0</v>
      </c>
      <c r="E39" s="1187">
        <v>0</v>
      </c>
      <c r="F39" s="1187">
        <v>0</v>
      </c>
      <c r="G39" s="1187">
        <v>0</v>
      </c>
      <c r="H39" s="1187">
        <f t="shared" si="4"/>
        <v>155317</v>
      </c>
      <c r="I39" s="1187">
        <f t="shared" si="5"/>
        <v>96521</v>
      </c>
    </row>
    <row r="40" spans="1:9" ht="25.5">
      <c r="A40" s="1185" t="s">
        <v>951</v>
      </c>
      <c r="B40" s="1186">
        <v>0</v>
      </c>
      <c r="C40" s="1186">
        <v>0</v>
      </c>
      <c r="D40" s="1187">
        <v>564</v>
      </c>
      <c r="E40" s="1187">
        <v>0</v>
      </c>
      <c r="F40" s="1187">
        <v>1888966</v>
      </c>
      <c r="G40" s="1187">
        <v>1888966</v>
      </c>
      <c r="H40" s="1187">
        <f t="shared" si="4"/>
        <v>1889530</v>
      </c>
      <c r="I40" s="1187">
        <f t="shared" si="5"/>
        <v>1888966</v>
      </c>
    </row>
    <row r="41" spans="1:9" ht="12.75">
      <c r="A41" s="1185" t="s">
        <v>952</v>
      </c>
      <c r="B41" s="1186">
        <v>180000</v>
      </c>
      <c r="C41" s="1186">
        <v>190000</v>
      </c>
      <c r="D41" s="1187">
        <v>0</v>
      </c>
      <c r="E41" s="1187">
        <v>0</v>
      </c>
      <c r="F41" s="1187">
        <v>0</v>
      </c>
      <c r="G41" s="1187">
        <v>0</v>
      </c>
      <c r="H41" s="1187">
        <f t="shared" si="4"/>
        <v>180000</v>
      </c>
      <c r="I41" s="1187">
        <f t="shared" si="5"/>
        <v>190000</v>
      </c>
    </row>
    <row r="42" spans="1:9" ht="38.25">
      <c r="A42" s="1185" t="s">
        <v>953</v>
      </c>
      <c r="B42" s="1186">
        <v>66801174</v>
      </c>
      <c r="C42" s="1186">
        <v>66801174</v>
      </c>
      <c r="D42" s="1187">
        <v>0</v>
      </c>
      <c r="E42" s="1187">
        <v>0</v>
      </c>
      <c r="F42" s="1187">
        <v>0</v>
      </c>
      <c r="G42" s="1187">
        <v>0</v>
      </c>
      <c r="H42" s="1187">
        <f t="shared" si="4"/>
        <v>66801174</v>
      </c>
      <c r="I42" s="1187">
        <f t="shared" si="5"/>
        <v>66801174</v>
      </c>
    </row>
    <row r="43" spans="1:9" ht="25.5">
      <c r="A43" s="1188" t="s">
        <v>954</v>
      </c>
      <c r="B43" s="1189">
        <v>67136491</v>
      </c>
      <c r="C43" s="1189">
        <v>67087695</v>
      </c>
      <c r="D43" s="1190">
        <v>564</v>
      </c>
      <c r="E43" s="1190">
        <v>0</v>
      </c>
      <c r="F43" s="1190">
        <v>1888966</v>
      </c>
      <c r="G43" s="1190">
        <v>1888966</v>
      </c>
      <c r="H43" s="1190">
        <f t="shared" si="4"/>
        <v>69026021</v>
      </c>
      <c r="I43" s="1190">
        <f t="shared" si="5"/>
        <v>68976661</v>
      </c>
    </row>
    <row r="44" spans="1:9" ht="12.75">
      <c r="A44" s="1188" t="s">
        <v>955</v>
      </c>
      <c r="B44" s="1189">
        <v>69364570</v>
      </c>
      <c r="C44" s="1189">
        <v>71680772</v>
      </c>
      <c r="D44" s="1190">
        <v>564</v>
      </c>
      <c r="E44" s="1190">
        <v>0</v>
      </c>
      <c r="F44" s="1190">
        <v>1910566</v>
      </c>
      <c r="G44" s="1190">
        <v>1964466</v>
      </c>
      <c r="H44" s="1190">
        <f t="shared" si="4"/>
        <v>71275700</v>
      </c>
      <c r="I44" s="1190">
        <f t="shared" si="5"/>
        <v>73645238</v>
      </c>
    </row>
    <row r="45" spans="1:9" ht="12.75">
      <c r="A45" s="1185" t="s">
        <v>956</v>
      </c>
      <c r="B45" s="1186">
        <v>0</v>
      </c>
      <c r="C45" s="1186">
        <v>0</v>
      </c>
      <c r="D45" s="1187">
        <v>0</v>
      </c>
      <c r="E45" s="1187">
        <v>0</v>
      </c>
      <c r="F45" s="1187">
        <v>0</v>
      </c>
      <c r="G45" s="1187">
        <v>265390</v>
      </c>
      <c r="H45" s="1187">
        <f t="shared" si="4"/>
        <v>0</v>
      </c>
      <c r="I45" s="1187">
        <f t="shared" si="5"/>
        <v>265390</v>
      </c>
    </row>
    <row r="46" spans="1:9" ht="25.5">
      <c r="A46" s="1188" t="s">
        <v>957</v>
      </c>
      <c r="B46" s="1189">
        <v>0</v>
      </c>
      <c r="C46" s="1189">
        <v>0</v>
      </c>
      <c r="D46" s="1190">
        <v>0</v>
      </c>
      <c r="E46" s="1190">
        <v>0</v>
      </c>
      <c r="F46" s="1190">
        <v>0</v>
      </c>
      <c r="G46" s="1190">
        <v>265390</v>
      </c>
      <c r="H46" s="1190">
        <f t="shared" si="4"/>
        <v>0</v>
      </c>
      <c r="I46" s="1190">
        <f t="shared" si="5"/>
        <v>265390</v>
      </c>
    </row>
    <row r="47" spans="1:9" ht="25.5">
      <c r="A47" s="1188" t="s">
        <v>958</v>
      </c>
      <c r="B47" s="1189">
        <v>0</v>
      </c>
      <c r="C47" s="1189">
        <v>0</v>
      </c>
      <c r="D47" s="1190">
        <v>0</v>
      </c>
      <c r="E47" s="1190">
        <v>0</v>
      </c>
      <c r="F47" s="1190">
        <v>0</v>
      </c>
      <c r="G47" s="1190">
        <v>265390</v>
      </c>
      <c r="H47" s="1190">
        <f t="shared" si="4"/>
        <v>0</v>
      </c>
      <c r="I47" s="1190">
        <f t="shared" si="5"/>
        <v>265390</v>
      </c>
    </row>
    <row r="48" spans="1:9" ht="12.75">
      <c r="A48" s="1188" t="s">
        <v>959</v>
      </c>
      <c r="B48" s="1189">
        <v>1742715364</v>
      </c>
      <c r="C48" s="1189">
        <v>1887040068</v>
      </c>
      <c r="D48" s="1190">
        <v>985438</v>
      </c>
      <c r="E48" s="1190">
        <v>2490459</v>
      </c>
      <c r="F48" s="1190">
        <v>6428931</v>
      </c>
      <c r="G48" s="1190">
        <v>6846565</v>
      </c>
      <c r="H48" s="1190">
        <f t="shared" si="4"/>
        <v>1750129733</v>
      </c>
      <c r="I48" s="1190">
        <f t="shared" si="5"/>
        <v>1896377092</v>
      </c>
    </row>
    <row r="49" spans="1:9" ht="12.75">
      <c r="A49" s="1185" t="s">
        <v>960</v>
      </c>
      <c r="B49" s="1186">
        <v>619978596</v>
      </c>
      <c r="C49" s="1186">
        <v>619978596</v>
      </c>
      <c r="D49" s="1187">
        <v>2204204</v>
      </c>
      <c r="E49" s="1187">
        <v>2204204</v>
      </c>
      <c r="F49" s="1187">
        <v>0</v>
      </c>
      <c r="G49" s="1187">
        <v>0</v>
      </c>
      <c r="H49" s="1187">
        <f t="shared" si="4"/>
        <v>622182800</v>
      </c>
      <c r="I49" s="1187">
        <f t="shared" si="5"/>
        <v>622182800</v>
      </c>
    </row>
    <row r="50" spans="1:9" ht="12.75">
      <c r="A50" s="1185" t="s">
        <v>961</v>
      </c>
      <c r="B50" s="1186">
        <v>195202532</v>
      </c>
      <c r="C50" s="1186">
        <v>210845796</v>
      </c>
      <c r="D50" s="1187">
        <v>0</v>
      </c>
      <c r="E50" s="1187">
        <v>0</v>
      </c>
      <c r="F50" s="1187">
        <v>0</v>
      </c>
      <c r="G50" s="1187">
        <v>0</v>
      </c>
      <c r="H50" s="1187">
        <f t="shared" si="4"/>
        <v>195202532</v>
      </c>
      <c r="I50" s="1187">
        <f t="shared" si="5"/>
        <v>210845796</v>
      </c>
    </row>
    <row r="51" spans="1:9" ht="25.5">
      <c r="A51" s="1185" t="s">
        <v>962</v>
      </c>
      <c r="B51" s="1186">
        <v>81973873</v>
      </c>
      <c r="C51" s="1186">
        <v>81973873</v>
      </c>
      <c r="D51" s="1187">
        <v>14503886</v>
      </c>
      <c r="E51" s="1187">
        <v>14503886</v>
      </c>
      <c r="F51" s="1187">
        <v>17445000</v>
      </c>
      <c r="G51" s="1187">
        <v>17445000</v>
      </c>
      <c r="H51" s="1187">
        <f t="shared" si="4"/>
        <v>113922759</v>
      </c>
      <c r="I51" s="1187">
        <f t="shared" si="5"/>
        <v>113922759</v>
      </c>
    </row>
    <row r="52" spans="1:9" ht="12.75">
      <c r="A52" s="1185" t="s">
        <v>963</v>
      </c>
      <c r="B52" s="1186">
        <v>775922983</v>
      </c>
      <c r="C52" s="1186">
        <v>805200874</v>
      </c>
      <c r="D52" s="1187">
        <v>-22232314</v>
      </c>
      <c r="E52" s="1187">
        <v>-21840488</v>
      </c>
      <c r="F52" s="1187">
        <v>-18416107</v>
      </c>
      <c r="G52" s="1187">
        <v>-18279458</v>
      </c>
      <c r="H52" s="1187">
        <f t="shared" si="4"/>
        <v>735274562</v>
      </c>
      <c r="I52" s="1187">
        <f t="shared" si="5"/>
        <v>765080928</v>
      </c>
    </row>
    <row r="53" spans="1:9" ht="12.75">
      <c r="A53" s="1185" t="s">
        <v>964</v>
      </c>
      <c r="B53" s="1186">
        <v>0</v>
      </c>
      <c r="C53" s="1186">
        <v>0</v>
      </c>
      <c r="D53" s="1187">
        <v>0</v>
      </c>
      <c r="E53" s="1187">
        <v>0</v>
      </c>
      <c r="F53" s="1187">
        <v>0</v>
      </c>
      <c r="G53" s="1187">
        <v>0</v>
      </c>
      <c r="H53" s="1187">
        <f t="shared" si="4"/>
        <v>0</v>
      </c>
      <c r="I53" s="1187">
        <f t="shared" si="5"/>
        <v>0</v>
      </c>
    </row>
    <row r="54" spans="1:9" ht="12.75">
      <c r="A54" s="1185" t="s">
        <v>965</v>
      </c>
      <c r="B54" s="1186">
        <v>29277891</v>
      </c>
      <c r="C54" s="1186">
        <v>31269924</v>
      </c>
      <c r="D54" s="1187">
        <v>391826</v>
      </c>
      <c r="E54" s="1187">
        <v>627699</v>
      </c>
      <c r="F54" s="1187">
        <v>136649</v>
      </c>
      <c r="G54" s="1187">
        <v>63342</v>
      </c>
      <c r="H54" s="1187">
        <f t="shared" si="4"/>
        <v>29806366</v>
      </c>
      <c r="I54" s="1187">
        <f t="shared" si="5"/>
        <v>31960965</v>
      </c>
    </row>
    <row r="55" spans="1:9" ht="12.75">
      <c r="A55" s="1188" t="s">
        <v>966</v>
      </c>
      <c r="B55" s="1189">
        <v>1702355875</v>
      </c>
      <c r="C55" s="1189">
        <v>1749269063</v>
      </c>
      <c r="D55" s="1190">
        <v>-5132398</v>
      </c>
      <c r="E55" s="1190">
        <v>-4504699</v>
      </c>
      <c r="F55" s="1190">
        <v>-834458</v>
      </c>
      <c r="G55" s="1190">
        <v>-771116</v>
      </c>
      <c r="H55" s="1190">
        <f t="shared" si="4"/>
        <v>1696389019</v>
      </c>
      <c r="I55" s="1190">
        <f t="shared" si="5"/>
        <v>1743993248</v>
      </c>
    </row>
    <row r="56" spans="1:9" ht="25.5">
      <c r="A56" s="1185" t="s">
        <v>967</v>
      </c>
      <c r="B56" s="1186">
        <v>0</v>
      </c>
      <c r="C56" s="1186">
        <v>4230000</v>
      </c>
      <c r="D56" s="1187">
        <v>0</v>
      </c>
      <c r="E56" s="1187">
        <v>0</v>
      </c>
      <c r="F56" s="1187">
        <v>141633</v>
      </c>
      <c r="G56" s="1187">
        <v>0</v>
      </c>
      <c r="H56" s="1187">
        <f t="shared" si="4"/>
        <v>141633</v>
      </c>
      <c r="I56" s="1187">
        <f t="shared" si="5"/>
        <v>4230000</v>
      </c>
    </row>
    <row r="57" spans="1:9" ht="25.5">
      <c r="A57" s="1185" t="s">
        <v>968</v>
      </c>
      <c r="B57" s="1186">
        <v>22824544</v>
      </c>
      <c r="C57" s="1186">
        <v>0</v>
      </c>
      <c r="D57" s="1187">
        <v>0</v>
      </c>
      <c r="E57" s="1187">
        <v>0</v>
      </c>
      <c r="F57" s="1187">
        <v>0</v>
      </c>
      <c r="G57" s="1187">
        <v>0</v>
      </c>
      <c r="H57" s="1187">
        <f t="shared" si="4"/>
        <v>22824544</v>
      </c>
      <c r="I57" s="1187">
        <f t="shared" si="5"/>
        <v>0</v>
      </c>
    </row>
    <row r="58" spans="1:9" ht="25.5">
      <c r="A58" s="1188" t="s">
        <v>969</v>
      </c>
      <c r="B58" s="1189">
        <v>22824544</v>
      </c>
      <c r="C58" s="1189">
        <v>4230000</v>
      </c>
      <c r="D58" s="1190">
        <v>0</v>
      </c>
      <c r="E58" s="1190">
        <v>0</v>
      </c>
      <c r="F58" s="1190">
        <v>141633</v>
      </c>
      <c r="G58" s="1190">
        <v>0</v>
      </c>
      <c r="H58" s="1190">
        <f aca="true" t="shared" si="6" ref="H58:H71">+B58+D58+F58</f>
        <v>22966177</v>
      </c>
      <c r="I58" s="1190">
        <f aca="true" t="shared" si="7" ref="I58:I71">+C58+E58+G58</f>
        <v>4230000</v>
      </c>
    </row>
    <row r="59" spans="1:9" ht="38.25">
      <c r="A59" s="1185" t="s">
        <v>970</v>
      </c>
      <c r="B59" s="1186">
        <v>12580358</v>
      </c>
      <c r="C59" s="1186">
        <v>10912646</v>
      </c>
      <c r="D59" s="1187">
        <v>0</v>
      </c>
      <c r="E59" s="1187">
        <v>0</v>
      </c>
      <c r="F59" s="1187">
        <v>0</v>
      </c>
      <c r="G59" s="1187">
        <v>0</v>
      </c>
      <c r="H59" s="1187">
        <f t="shared" si="6"/>
        <v>12580358</v>
      </c>
      <c r="I59" s="1187">
        <f t="shared" si="7"/>
        <v>10912646</v>
      </c>
    </row>
    <row r="60" spans="1:9" ht="51">
      <c r="A60" s="1185" t="s">
        <v>971</v>
      </c>
      <c r="B60" s="1186">
        <v>2267801</v>
      </c>
      <c r="C60" s="1186">
        <v>0</v>
      </c>
      <c r="D60" s="1187">
        <v>0</v>
      </c>
      <c r="E60" s="1187">
        <v>0</v>
      </c>
      <c r="F60" s="1187">
        <v>0</v>
      </c>
      <c r="G60" s="1187">
        <v>0</v>
      </c>
      <c r="H60" s="1187">
        <f t="shared" si="6"/>
        <v>2267801</v>
      </c>
      <c r="I60" s="1187">
        <f t="shared" si="7"/>
        <v>0</v>
      </c>
    </row>
    <row r="61" spans="1:9" ht="38.25">
      <c r="A61" s="1185" t="s">
        <v>972</v>
      </c>
      <c r="B61" s="1186">
        <v>10312557</v>
      </c>
      <c r="C61" s="1186">
        <v>10912646</v>
      </c>
      <c r="D61" s="1187">
        <v>0</v>
      </c>
      <c r="E61" s="1187">
        <v>0</v>
      </c>
      <c r="F61" s="1187">
        <v>0</v>
      </c>
      <c r="G61" s="1187">
        <v>0</v>
      </c>
      <c r="H61" s="1187">
        <f t="shared" si="6"/>
        <v>10312557</v>
      </c>
      <c r="I61" s="1187">
        <f t="shared" si="7"/>
        <v>10912646</v>
      </c>
    </row>
    <row r="62" spans="1:9" ht="25.5">
      <c r="A62" s="1188" t="s">
        <v>973</v>
      </c>
      <c r="B62" s="1189">
        <v>12580358</v>
      </c>
      <c r="C62" s="1189">
        <v>10912646</v>
      </c>
      <c r="D62" s="1190">
        <v>0</v>
      </c>
      <c r="E62" s="1190">
        <v>0</v>
      </c>
      <c r="F62" s="1190">
        <v>0</v>
      </c>
      <c r="G62" s="1190">
        <v>0</v>
      </c>
      <c r="H62" s="1190">
        <f t="shared" si="6"/>
        <v>12580358</v>
      </c>
      <c r="I62" s="1190">
        <f t="shared" si="7"/>
        <v>10912646</v>
      </c>
    </row>
    <row r="63" spans="1:9" ht="12.75">
      <c r="A63" s="1185" t="s">
        <v>974</v>
      </c>
      <c r="B63" s="1186">
        <v>0</v>
      </c>
      <c r="C63" s="1186">
        <v>468362</v>
      </c>
      <c r="D63" s="1187">
        <v>0</v>
      </c>
      <c r="E63" s="1187">
        <v>0</v>
      </c>
      <c r="F63" s="1187">
        <v>0</v>
      </c>
      <c r="G63" s="1187">
        <v>0</v>
      </c>
      <c r="H63" s="1187">
        <f t="shared" si="6"/>
        <v>0</v>
      </c>
      <c r="I63" s="1187">
        <f t="shared" si="7"/>
        <v>468362</v>
      </c>
    </row>
    <row r="64" spans="1:9" ht="25.5">
      <c r="A64" s="1185" t="s">
        <v>975</v>
      </c>
      <c r="B64" s="1186">
        <v>271336</v>
      </c>
      <c r="C64" s="1186">
        <v>702545</v>
      </c>
      <c r="D64" s="1187">
        <v>0</v>
      </c>
      <c r="E64" s="1187">
        <v>0</v>
      </c>
      <c r="F64" s="1187">
        <v>0</v>
      </c>
      <c r="G64" s="1187">
        <v>0</v>
      </c>
      <c r="H64" s="1187">
        <f t="shared" si="6"/>
        <v>271336</v>
      </c>
      <c r="I64" s="1187">
        <f t="shared" si="7"/>
        <v>702545</v>
      </c>
    </row>
    <row r="65" spans="1:9" ht="25.5">
      <c r="A65" s="1188" t="s">
        <v>976</v>
      </c>
      <c r="B65" s="1189">
        <v>271336</v>
      </c>
      <c r="C65" s="1189">
        <v>1170907</v>
      </c>
      <c r="D65" s="1190">
        <v>0</v>
      </c>
      <c r="E65" s="1190">
        <v>0</v>
      </c>
      <c r="F65" s="1190">
        <v>0</v>
      </c>
      <c r="G65" s="1190">
        <v>0</v>
      </c>
      <c r="H65" s="1190">
        <f t="shared" si="6"/>
        <v>271336</v>
      </c>
      <c r="I65" s="1190">
        <f t="shared" si="7"/>
        <v>1170907</v>
      </c>
    </row>
    <row r="66" spans="1:9" ht="12.75">
      <c r="A66" s="1188" t="s">
        <v>977</v>
      </c>
      <c r="B66" s="1189">
        <v>35676238</v>
      </c>
      <c r="C66" s="1189">
        <v>16313553</v>
      </c>
      <c r="D66" s="1190">
        <v>0</v>
      </c>
      <c r="E66" s="1190">
        <v>0</v>
      </c>
      <c r="F66" s="1190">
        <v>141633</v>
      </c>
      <c r="G66" s="1190">
        <v>0</v>
      </c>
      <c r="H66" s="1190">
        <f t="shared" si="6"/>
        <v>35817871</v>
      </c>
      <c r="I66" s="1190">
        <f t="shared" si="7"/>
        <v>16313553</v>
      </c>
    </row>
    <row r="67" spans="1:9" ht="25.5">
      <c r="A67" s="1185" t="s">
        <v>978</v>
      </c>
      <c r="B67" s="1186">
        <v>62940</v>
      </c>
      <c r="C67" s="1186">
        <v>0</v>
      </c>
      <c r="D67" s="1187">
        <v>0</v>
      </c>
      <c r="E67" s="1187">
        <v>0</v>
      </c>
      <c r="F67" s="1187">
        <v>0</v>
      </c>
      <c r="G67" s="1187">
        <v>0</v>
      </c>
      <c r="H67" s="1187">
        <f t="shared" si="6"/>
        <v>62940</v>
      </c>
      <c r="I67" s="1187">
        <f t="shared" si="7"/>
        <v>0</v>
      </c>
    </row>
    <row r="68" spans="1:9" ht="25.5">
      <c r="A68" s="1185" t="s">
        <v>979</v>
      </c>
      <c r="B68" s="1186">
        <v>4424552</v>
      </c>
      <c r="C68" s="1186">
        <v>4026981</v>
      </c>
      <c r="D68" s="1187">
        <v>6117836</v>
      </c>
      <c r="E68" s="1187">
        <v>6995158</v>
      </c>
      <c r="F68" s="1187">
        <v>7121756</v>
      </c>
      <c r="G68" s="1187">
        <v>7617681</v>
      </c>
      <c r="H68" s="1187">
        <f t="shared" si="6"/>
        <v>17664144</v>
      </c>
      <c r="I68" s="1187">
        <f t="shared" si="7"/>
        <v>18639820</v>
      </c>
    </row>
    <row r="69" spans="1:9" ht="12.75">
      <c r="A69" s="1185" t="s">
        <v>980</v>
      </c>
      <c r="B69" s="1186">
        <v>195759</v>
      </c>
      <c r="C69" s="1186">
        <v>117430471</v>
      </c>
      <c r="D69" s="1187">
        <v>0</v>
      </c>
      <c r="E69" s="1187">
        <v>0</v>
      </c>
      <c r="F69" s="1187">
        <v>0</v>
      </c>
      <c r="G69" s="1187">
        <v>0</v>
      </c>
      <c r="H69" s="1187">
        <f t="shared" si="6"/>
        <v>195759</v>
      </c>
      <c r="I69" s="1187">
        <f t="shared" si="7"/>
        <v>117430471</v>
      </c>
    </row>
    <row r="70" spans="1:9" ht="25.5">
      <c r="A70" s="1188" t="s">
        <v>981</v>
      </c>
      <c r="B70" s="1189">
        <v>4683251</v>
      </c>
      <c r="C70" s="1189">
        <v>121457452</v>
      </c>
      <c r="D70" s="1190">
        <v>6117836</v>
      </c>
      <c r="E70" s="1190">
        <v>6995158</v>
      </c>
      <c r="F70" s="1190">
        <v>7121756</v>
      </c>
      <c r="G70" s="1190">
        <v>7617681</v>
      </c>
      <c r="H70" s="1190">
        <f t="shared" si="6"/>
        <v>17922843</v>
      </c>
      <c r="I70" s="1190">
        <f t="shared" si="7"/>
        <v>136070291</v>
      </c>
    </row>
    <row r="71" spans="1:9" ht="12.75">
      <c r="A71" s="1188" t="s">
        <v>982</v>
      </c>
      <c r="B71" s="1189">
        <v>1742715364</v>
      </c>
      <c r="C71" s="1189">
        <v>1887040068</v>
      </c>
      <c r="D71" s="1190">
        <v>985438</v>
      </c>
      <c r="E71" s="1190">
        <v>2490459</v>
      </c>
      <c r="F71" s="1190">
        <v>6428931</v>
      </c>
      <c r="G71" s="1190">
        <v>6846565</v>
      </c>
      <c r="H71" s="1190">
        <f t="shared" si="6"/>
        <v>1750129733</v>
      </c>
      <c r="I71" s="1190">
        <f t="shared" si="7"/>
        <v>1896377092</v>
      </c>
    </row>
  </sheetData>
  <sheetProtection/>
  <mergeCells count="8">
    <mergeCell ref="B7:C7"/>
    <mergeCell ref="D7:E7"/>
    <mergeCell ref="F7:G7"/>
    <mergeCell ref="H7:I7"/>
    <mergeCell ref="A1:I1"/>
    <mergeCell ref="A2:I2"/>
    <mergeCell ref="A3:I3"/>
    <mergeCell ref="A6:I6"/>
  </mergeCells>
  <printOptions/>
  <pageMargins left="0.75" right="0.75" top="1" bottom="1" header="0.5" footer="0.5"/>
  <pageSetup horizontalDpi="300" verticalDpi="300" orientation="portrait" scale="64" r:id="rId1"/>
  <headerFooter alignWithMargins="0">
    <oddHeader>&amp;L&amp;C&amp;RÉrték típus: Forint</oddHeader>
    <oddFooter>&amp;LAdatellenőrző kód: -42-4173-2e6a23-35-7e2e-75742b35a-6b3d-4-79-6f-37&amp;C&amp;R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A1:IV92"/>
  <sheetViews>
    <sheetView view="pageBreakPreview" zoomScale="60" zoomScaleNormal="90" workbookViewId="0" topLeftCell="A1">
      <selection activeCell="C79" sqref="C79:C92"/>
    </sheetView>
  </sheetViews>
  <sheetFormatPr defaultColWidth="60.421875" defaultRowHeight="12.75"/>
  <cols>
    <col min="1" max="1" width="60.421875" style="1076" customWidth="1"/>
    <col min="2" max="2" width="5.57421875" style="1076" customWidth="1"/>
    <col min="3" max="3" width="13.140625" style="1076" customWidth="1"/>
    <col min="4" max="4" width="14.8515625" style="1076" customWidth="1"/>
    <col min="5" max="5" width="12.57421875" style="1176" customWidth="1"/>
    <col min="6" max="6" width="22.8515625" style="1176" customWidth="1"/>
    <col min="7" max="255" width="10.7109375" style="1176" customWidth="1"/>
    <col min="256" max="16384" width="60.421875" style="1176" customWidth="1"/>
  </cols>
  <sheetData>
    <row r="1" spans="1:256" ht="49.5" customHeight="1">
      <c r="A1" s="1730" t="s">
        <v>917</v>
      </c>
      <c r="B1" s="1730"/>
      <c r="C1" s="1730"/>
      <c r="D1" s="1730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1175"/>
      <c r="Z1" s="1175"/>
      <c r="AA1" s="1175"/>
      <c r="AB1" s="1175"/>
      <c r="AC1" s="1175"/>
      <c r="AD1" s="1175"/>
      <c r="AE1" s="1175"/>
      <c r="AF1" s="1175"/>
      <c r="AG1" s="1175"/>
      <c r="AH1" s="1175"/>
      <c r="AI1" s="1175"/>
      <c r="AJ1" s="1175"/>
      <c r="AK1" s="1175"/>
      <c r="AL1" s="1175"/>
      <c r="AM1" s="1175"/>
      <c r="AN1" s="1175"/>
      <c r="AO1" s="1175"/>
      <c r="AP1" s="1175"/>
      <c r="AQ1" s="1175"/>
      <c r="AR1" s="1175"/>
      <c r="AS1" s="1175"/>
      <c r="AT1" s="1175"/>
      <c r="AU1" s="1175"/>
      <c r="AV1" s="1175"/>
      <c r="AW1" s="1175"/>
      <c r="AX1" s="1175"/>
      <c r="AY1" s="1175"/>
      <c r="AZ1" s="1175"/>
      <c r="BA1" s="1175"/>
      <c r="BB1" s="1175"/>
      <c r="BC1" s="1175"/>
      <c r="BD1" s="1175"/>
      <c r="BE1" s="1175"/>
      <c r="BF1" s="1175"/>
      <c r="BG1" s="1175"/>
      <c r="BH1" s="1175"/>
      <c r="BI1" s="1175"/>
      <c r="BJ1" s="1175"/>
      <c r="BK1" s="1175"/>
      <c r="BL1" s="1175"/>
      <c r="BM1" s="1175"/>
      <c r="BN1" s="1175"/>
      <c r="BO1" s="1175"/>
      <c r="BP1" s="1175"/>
      <c r="BQ1" s="1175"/>
      <c r="BR1" s="1175"/>
      <c r="BS1" s="1175"/>
      <c r="BT1" s="1175"/>
      <c r="BU1" s="1175"/>
      <c r="BV1" s="1175"/>
      <c r="BW1" s="1175"/>
      <c r="BX1" s="1175"/>
      <c r="BY1" s="1175"/>
      <c r="BZ1" s="1175"/>
      <c r="CA1" s="1175"/>
      <c r="CB1" s="1175"/>
      <c r="CC1" s="1175"/>
      <c r="CD1" s="1175"/>
      <c r="CE1" s="1175"/>
      <c r="CF1" s="1175"/>
      <c r="CG1" s="1175"/>
      <c r="CH1" s="1175"/>
      <c r="CI1" s="1175"/>
      <c r="CJ1" s="1175"/>
      <c r="CK1" s="1175"/>
      <c r="CL1" s="1175"/>
      <c r="CM1" s="1175"/>
      <c r="CN1" s="1175"/>
      <c r="CO1" s="1175"/>
      <c r="CP1" s="1175"/>
      <c r="CQ1" s="1175"/>
      <c r="CR1" s="1175"/>
      <c r="CS1" s="1175"/>
      <c r="CT1" s="1175"/>
      <c r="CU1" s="1175"/>
      <c r="CV1" s="1175"/>
      <c r="CW1" s="1175"/>
      <c r="CX1" s="1175"/>
      <c r="CY1" s="1175"/>
      <c r="CZ1" s="1175"/>
      <c r="DA1" s="1175"/>
      <c r="DB1" s="1175"/>
      <c r="DC1" s="1175"/>
      <c r="DD1" s="1175"/>
      <c r="DE1" s="1175"/>
      <c r="DF1" s="1175"/>
      <c r="DG1" s="1175"/>
      <c r="DH1" s="1175"/>
      <c r="DI1" s="1175"/>
      <c r="DJ1" s="1175"/>
      <c r="DK1" s="1175"/>
      <c r="DL1" s="1175"/>
      <c r="DM1" s="1175"/>
      <c r="DN1" s="1175"/>
      <c r="DO1" s="1175"/>
      <c r="DP1" s="1175"/>
      <c r="DQ1" s="1175"/>
      <c r="DR1" s="1175"/>
      <c r="DS1" s="1175"/>
      <c r="DT1" s="1175"/>
      <c r="DU1" s="1175"/>
      <c r="DV1" s="1175"/>
      <c r="DW1" s="1175"/>
      <c r="DX1" s="1175"/>
      <c r="DY1" s="1175"/>
      <c r="DZ1" s="1175"/>
      <c r="EA1" s="1175"/>
      <c r="EB1" s="1175"/>
      <c r="EC1" s="1175"/>
      <c r="ED1" s="1175"/>
      <c r="EE1" s="1175"/>
      <c r="EF1" s="1175"/>
      <c r="EG1" s="1175"/>
      <c r="EH1" s="1175"/>
      <c r="EI1" s="1175"/>
      <c r="EJ1" s="1175"/>
      <c r="EK1" s="1175"/>
      <c r="EL1" s="1175"/>
      <c r="EM1" s="1175"/>
      <c r="EN1" s="1175"/>
      <c r="EO1" s="1175"/>
      <c r="EP1" s="1175"/>
      <c r="EQ1" s="1175"/>
      <c r="ER1" s="1175"/>
      <c r="ES1" s="1175"/>
      <c r="ET1" s="1175"/>
      <c r="EU1" s="1175"/>
      <c r="EV1" s="1175"/>
      <c r="EW1" s="1175"/>
      <c r="EX1" s="1175"/>
      <c r="EY1" s="1175"/>
      <c r="EZ1" s="1175"/>
      <c r="FA1" s="1175"/>
      <c r="FB1" s="1175"/>
      <c r="FC1" s="1175"/>
      <c r="FD1" s="1175"/>
      <c r="FE1" s="1175"/>
      <c r="FF1" s="1175"/>
      <c r="FG1" s="1175"/>
      <c r="FH1" s="1175"/>
      <c r="FI1" s="1175"/>
      <c r="FJ1" s="1175"/>
      <c r="FK1" s="1175"/>
      <c r="FL1" s="1175"/>
      <c r="FM1" s="1175"/>
      <c r="FN1" s="1175"/>
      <c r="FO1" s="1175"/>
      <c r="FP1" s="1175"/>
      <c r="FQ1" s="1175"/>
      <c r="FR1" s="1175"/>
      <c r="FS1" s="1175"/>
      <c r="FT1" s="1175"/>
      <c r="FU1" s="1175"/>
      <c r="FV1" s="1175"/>
      <c r="FW1" s="1175"/>
      <c r="FX1" s="1175"/>
      <c r="FY1" s="1175"/>
      <c r="FZ1" s="1175"/>
      <c r="GA1" s="1175"/>
      <c r="GB1" s="1175"/>
      <c r="GC1" s="1175"/>
      <c r="GD1" s="1175"/>
      <c r="GE1" s="1175"/>
      <c r="GF1" s="1175"/>
      <c r="GG1" s="1175"/>
      <c r="GH1" s="1175"/>
      <c r="GI1" s="1175"/>
      <c r="GJ1" s="1175"/>
      <c r="GK1" s="1175"/>
      <c r="GL1" s="1175"/>
      <c r="GM1" s="1175"/>
      <c r="GN1" s="1175"/>
      <c r="GO1" s="1175"/>
      <c r="GP1" s="1175"/>
      <c r="GQ1" s="1175"/>
      <c r="GR1" s="1175"/>
      <c r="GS1" s="1175"/>
      <c r="GT1" s="1175"/>
      <c r="GU1" s="1175"/>
      <c r="GV1" s="1175"/>
      <c r="GW1" s="1175"/>
      <c r="GX1" s="1175"/>
      <c r="GY1" s="1175"/>
      <c r="GZ1" s="1175"/>
      <c r="HA1" s="1175"/>
      <c r="HB1" s="1175"/>
      <c r="HC1" s="1175"/>
      <c r="HD1" s="1175"/>
      <c r="HE1" s="1175"/>
      <c r="HF1" s="1175"/>
      <c r="HG1" s="1175"/>
      <c r="HH1" s="1175"/>
      <c r="HI1" s="1175"/>
      <c r="HJ1" s="1175"/>
      <c r="HK1" s="1175"/>
      <c r="HL1" s="1175"/>
      <c r="HM1" s="1175"/>
      <c r="HN1" s="1175"/>
      <c r="HO1" s="1175"/>
      <c r="HP1" s="1175"/>
      <c r="HQ1" s="1175"/>
      <c r="HR1" s="1175"/>
      <c r="HS1" s="1175"/>
      <c r="HT1" s="1175"/>
      <c r="HU1" s="1175"/>
      <c r="HV1" s="1175"/>
      <c r="HW1" s="1175"/>
      <c r="HX1" s="1175"/>
      <c r="HY1" s="1175"/>
      <c r="HZ1" s="1175"/>
      <c r="IA1" s="1175"/>
      <c r="IB1" s="1175"/>
      <c r="IC1" s="1175"/>
      <c r="ID1" s="1175"/>
      <c r="IE1" s="1175"/>
      <c r="IF1" s="1175"/>
      <c r="IG1" s="1175"/>
      <c r="IH1" s="1175"/>
      <c r="II1" s="1175"/>
      <c r="IJ1" s="1175"/>
      <c r="IK1" s="1175"/>
      <c r="IL1" s="1175"/>
      <c r="IM1" s="1175"/>
      <c r="IN1" s="1175"/>
      <c r="IO1" s="1175"/>
      <c r="IP1" s="1175"/>
      <c r="IQ1" s="1175"/>
      <c r="IR1" s="1175"/>
      <c r="IS1" s="1175"/>
      <c r="IT1" s="1175"/>
      <c r="IU1" s="1175"/>
      <c r="IV1" s="1175"/>
    </row>
    <row r="2" spans="1:256" ht="16.5" thickBot="1">
      <c r="A2" s="1059" t="s">
        <v>705</v>
      </c>
      <c r="B2" s="1175"/>
      <c r="C2" s="1731" t="s">
        <v>756</v>
      </c>
      <c r="D2" s="1731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  <c r="P2" s="1175"/>
      <c r="Q2" s="1175"/>
      <c r="R2" s="1175"/>
      <c r="S2" s="1175"/>
      <c r="T2" s="1175"/>
      <c r="U2" s="1175"/>
      <c r="V2" s="1175"/>
      <c r="W2" s="1175"/>
      <c r="X2" s="1175"/>
      <c r="Y2" s="1175"/>
      <c r="Z2" s="1175"/>
      <c r="AA2" s="1175"/>
      <c r="AB2" s="1175"/>
      <c r="AC2" s="1175"/>
      <c r="AD2" s="1175"/>
      <c r="AE2" s="1175"/>
      <c r="AF2" s="1175"/>
      <c r="AG2" s="1175"/>
      <c r="AH2" s="1175"/>
      <c r="AI2" s="1175"/>
      <c r="AJ2" s="1175"/>
      <c r="AK2" s="1175"/>
      <c r="AL2" s="1175"/>
      <c r="AM2" s="1175"/>
      <c r="AN2" s="1175"/>
      <c r="AO2" s="1175"/>
      <c r="AP2" s="1175"/>
      <c r="AQ2" s="1175"/>
      <c r="AR2" s="1175"/>
      <c r="AS2" s="1175"/>
      <c r="AT2" s="1175"/>
      <c r="AU2" s="1175"/>
      <c r="AV2" s="1175"/>
      <c r="AW2" s="1175"/>
      <c r="AX2" s="1175"/>
      <c r="AY2" s="1175"/>
      <c r="AZ2" s="1175"/>
      <c r="BA2" s="1175"/>
      <c r="BB2" s="1175"/>
      <c r="BC2" s="1175"/>
      <c r="BD2" s="1175"/>
      <c r="BE2" s="1175"/>
      <c r="BF2" s="1175"/>
      <c r="BG2" s="1175"/>
      <c r="BH2" s="1175"/>
      <c r="BI2" s="1175"/>
      <c r="BJ2" s="1175"/>
      <c r="BK2" s="1175"/>
      <c r="BL2" s="1175"/>
      <c r="BM2" s="1175"/>
      <c r="BN2" s="1175"/>
      <c r="BO2" s="1175"/>
      <c r="BP2" s="1175"/>
      <c r="BQ2" s="1175"/>
      <c r="BR2" s="1175"/>
      <c r="BS2" s="1175"/>
      <c r="BT2" s="1175"/>
      <c r="BU2" s="1175"/>
      <c r="BV2" s="1175"/>
      <c r="BW2" s="1175"/>
      <c r="BX2" s="1175"/>
      <c r="BY2" s="1175"/>
      <c r="BZ2" s="1175"/>
      <c r="CA2" s="1175"/>
      <c r="CB2" s="1175"/>
      <c r="CC2" s="1175"/>
      <c r="CD2" s="1175"/>
      <c r="CE2" s="1175"/>
      <c r="CF2" s="1175"/>
      <c r="CG2" s="1175"/>
      <c r="CH2" s="1175"/>
      <c r="CI2" s="1175"/>
      <c r="CJ2" s="1175"/>
      <c r="CK2" s="1175"/>
      <c r="CL2" s="1175"/>
      <c r="CM2" s="1175"/>
      <c r="CN2" s="1175"/>
      <c r="CO2" s="1175"/>
      <c r="CP2" s="1175"/>
      <c r="CQ2" s="1175"/>
      <c r="CR2" s="1175"/>
      <c r="CS2" s="1175"/>
      <c r="CT2" s="1175"/>
      <c r="CU2" s="1175"/>
      <c r="CV2" s="1175"/>
      <c r="CW2" s="1175"/>
      <c r="CX2" s="1175"/>
      <c r="CY2" s="1175"/>
      <c r="CZ2" s="1175"/>
      <c r="DA2" s="1175"/>
      <c r="DB2" s="1175"/>
      <c r="DC2" s="1175"/>
      <c r="DD2" s="1175"/>
      <c r="DE2" s="1175"/>
      <c r="DF2" s="1175"/>
      <c r="DG2" s="1175"/>
      <c r="DH2" s="1175"/>
      <c r="DI2" s="1175"/>
      <c r="DJ2" s="1175"/>
      <c r="DK2" s="1175"/>
      <c r="DL2" s="1175"/>
      <c r="DM2" s="1175"/>
      <c r="DN2" s="1175"/>
      <c r="DO2" s="1175"/>
      <c r="DP2" s="1175"/>
      <c r="DQ2" s="1175"/>
      <c r="DR2" s="1175"/>
      <c r="DS2" s="1175"/>
      <c r="DT2" s="1175"/>
      <c r="DU2" s="1175"/>
      <c r="DV2" s="1175"/>
      <c r="DW2" s="1175"/>
      <c r="DX2" s="1175"/>
      <c r="DY2" s="1175"/>
      <c r="DZ2" s="1175"/>
      <c r="EA2" s="1175"/>
      <c r="EB2" s="1175"/>
      <c r="EC2" s="1175"/>
      <c r="ED2" s="1175"/>
      <c r="EE2" s="1175"/>
      <c r="EF2" s="1175"/>
      <c r="EG2" s="1175"/>
      <c r="EH2" s="1175"/>
      <c r="EI2" s="1175"/>
      <c r="EJ2" s="1175"/>
      <c r="EK2" s="1175"/>
      <c r="EL2" s="1175"/>
      <c r="EM2" s="1175"/>
      <c r="EN2" s="1175"/>
      <c r="EO2" s="1175"/>
      <c r="EP2" s="1175"/>
      <c r="EQ2" s="1175"/>
      <c r="ER2" s="1175"/>
      <c r="ES2" s="1175"/>
      <c r="ET2" s="1175"/>
      <c r="EU2" s="1175"/>
      <c r="EV2" s="1175"/>
      <c r="EW2" s="1175"/>
      <c r="EX2" s="1175"/>
      <c r="EY2" s="1175"/>
      <c r="EZ2" s="1175"/>
      <c r="FA2" s="1175"/>
      <c r="FB2" s="1175"/>
      <c r="FC2" s="1175"/>
      <c r="FD2" s="1175"/>
      <c r="FE2" s="1175"/>
      <c r="FF2" s="1175"/>
      <c r="FG2" s="1175"/>
      <c r="FH2" s="1175"/>
      <c r="FI2" s="1175"/>
      <c r="FJ2" s="1175"/>
      <c r="FK2" s="1175"/>
      <c r="FL2" s="1175"/>
      <c r="FM2" s="1175"/>
      <c r="FN2" s="1175"/>
      <c r="FO2" s="1175"/>
      <c r="FP2" s="1175"/>
      <c r="FQ2" s="1175"/>
      <c r="FR2" s="1175"/>
      <c r="FS2" s="1175"/>
      <c r="FT2" s="1175"/>
      <c r="FU2" s="1175"/>
      <c r="FV2" s="1175"/>
      <c r="FW2" s="1175"/>
      <c r="FX2" s="1175"/>
      <c r="FY2" s="1175"/>
      <c r="FZ2" s="1175"/>
      <c r="GA2" s="1175"/>
      <c r="GB2" s="1175"/>
      <c r="GC2" s="1175"/>
      <c r="GD2" s="1175"/>
      <c r="GE2" s="1175"/>
      <c r="GF2" s="1175"/>
      <c r="GG2" s="1175"/>
      <c r="GH2" s="1175"/>
      <c r="GI2" s="1175"/>
      <c r="GJ2" s="1175"/>
      <c r="GK2" s="1175"/>
      <c r="GL2" s="1175"/>
      <c r="GM2" s="1175"/>
      <c r="GN2" s="1175"/>
      <c r="GO2" s="1175"/>
      <c r="GP2" s="1175"/>
      <c r="GQ2" s="1175"/>
      <c r="GR2" s="1175"/>
      <c r="GS2" s="1175"/>
      <c r="GT2" s="1175"/>
      <c r="GU2" s="1175"/>
      <c r="GV2" s="1175"/>
      <c r="GW2" s="1175"/>
      <c r="GX2" s="1175"/>
      <c r="GY2" s="1175"/>
      <c r="GZ2" s="1175"/>
      <c r="HA2" s="1175"/>
      <c r="HB2" s="1175"/>
      <c r="HC2" s="1175"/>
      <c r="HD2" s="1175"/>
      <c r="HE2" s="1175"/>
      <c r="HF2" s="1175"/>
      <c r="HG2" s="1175"/>
      <c r="HH2" s="1175"/>
      <c r="HI2" s="1175"/>
      <c r="HJ2" s="1175"/>
      <c r="HK2" s="1175"/>
      <c r="HL2" s="1175"/>
      <c r="HM2" s="1175"/>
      <c r="HN2" s="1175"/>
      <c r="HO2" s="1175"/>
      <c r="HP2" s="1175"/>
      <c r="HQ2" s="1175"/>
      <c r="HR2" s="1175"/>
      <c r="HS2" s="1175"/>
      <c r="HT2" s="1175"/>
      <c r="HU2" s="1175"/>
      <c r="HV2" s="1175"/>
      <c r="HW2" s="1175"/>
      <c r="HX2" s="1175"/>
      <c r="HY2" s="1175"/>
      <c r="HZ2" s="1175"/>
      <c r="IA2" s="1175"/>
      <c r="IB2" s="1175"/>
      <c r="IC2" s="1175"/>
      <c r="ID2" s="1175"/>
      <c r="IE2" s="1175"/>
      <c r="IF2" s="1175"/>
      <c r="IG2" s="1175"/>
      <c r="IH2" s="1175"/>
      <c r="II2" s="1175"/>
      <c r="IJ2" s="1175"/>
      <c r="IK2" s="1175"/>
      <c r="IL2" s="1175"/>
      <c r="IM2" s="1175"/>
      <c r="IN2" s="1175"/>
      <c r="IO2" s="1175"/>
      <c r="IP2" s="1175"/>
      <c r="IQ2" s="1175"/>
      <c r="IR2" s="1175"/>
      <c r="IS2" s="1175"/>
      <c r="IT2" s="1175"/>
      <c r="IU2" s="1175"/>
      <c r="IV2" s="1175"/>
    </row>
    <row r="3" spans="1:256" ht="15.75" customHeight="1" thickBot="1">
      <c r="A3" s="1732" t="s">
        <v>757</v>
      </c>
      <c r="B3" s="1733" t="s">
        <v>5</v>
      </c>
      <c r="C3" s="1734" t="s">
        <v>758</v>
      </c>
      <c r="D3" s="1734" t="s">
        <v>759</v>
      </c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175"/>
      <c r="P3" s="1175"/>
      <c r="Q3" s="1175"/>
      <c r="R3" s="1175"/>
      <c r="S3" s="1175"/>
      <c r="T3" s="1175"/>
      <c r="U3" s="1175"/>
      <c r="V3" s="1175"/>
      <c r="W3" s="1175"/>
      <c r="X3" s="1175"/>
      <c r="Y3" s="1175"/>
      <c r="Z3" s="1175"/>
      <c r="AA3" s="1175"/>
      <c r="AB3" s="1175"/>
      <c r="AC3" s="1175"/>
      <c r="AD3" s="1175"/>
      <c r="AE3" s="1175"/>
      <c r="AF3" s="1175"/>
      <c r="AG3" s="1175"/>
      <c r="AH3" s="1175"/>
      <c r="AI3" s="1175"/>
      <c r="AJ3" s="1175"/>
      <c r="AK3" s="1175"/>
      <c r="AL3" s="1175"/>
      <c r="AM3" s="1175"/>
      <c r="AN3" s="1175"/>
      <c r="AO3" s="1175"/>
      <c r="AP3" s="1175"/>
      <c r="AQ3" s="1175"/>
      <c r="AR3" s="1175"/>
      <c r="AS3" s="1175"/>
      <c r="AT3" s="1175"/>
      <c r="AU3" s="1175"/>
      <c r="AV3" s="1175"/>
      <c r="AW3" s="1175"/>
      <c r="AX3" s="1175"/>
      <c r="AY3" s="1175"/>
      <c r="AZ3" s="1175"/>
      <c r="BA3" s="1175"/>
      <c r="BB3" s="1175"/>
      <c r="BC3" s="1175"/>
      <c r="BD3" s="1175"/>
      <c r="BE3" s="1175"/>
      <c r="BF3" s="1175"/>
      <c r="BG3" s="1175"/>
      <c r="BH3" s="1175"/>
      <c r="BI3" s="1175"/>
      <c r="BJ3" s="1175"/>
      <c r="BK3" s="1175"/>
      <c r="BL3" s="1175"/>
      <c r="BM3" s="1175"/>
      <c r="BN3" s="1175"/>
      <c r="BO3" s="1175"/>
      <c r="BP3" s="1175"/>
      <c r="BQ3" s="1175"/>
      <c r="BR3" s="1175"/>
      <c r="BS3" s="1175"/>
      <c r="BT3" s="1175"/>
      <c r="BU3" s="1175"/>
      <c r="BV3" s="1175"/>
      <c r="BW3" s="1175"/>
      <c r="BX3" s="1175"/>
      <c r="BY3" s="1175"/>
      <c r="BZ3" s="1175"/>
      <c r="CA3" s="1175"/>
      <c r="CB3" s="1175"/>
      <c r="CC3" s="1175"/>
      <c r="CD3" s="1175"/>
      <c r="CE3" s="1175"/>
      <c r="CF3" s="1175"/>
      <c r="CG3" s="1175"/>
      <c r="CH3" s="1175"/>
      <c r="CI3" s="1175"/>
      <c r="CJ3" s="1175"/>
      <c r="CK3" s="1175"/>
      <c r="CL3" s="1175"/>
      <c r="CM3" s="1175"/>
      <c r="CN3" s="1175"/>
      <c r="CO3" s="1175"/>
      <c r="CP3" s="1175"/>
      <c r="CQ3" s="1175"/>
      <c r="CR3" s="1175"/>
      <c r="CS3" s="1175"/>
      <c r="CT3" s="1175"/>
      <c r="CU3" s="1175"/>
      <c r="CV3" s="1175"/>
      <c r="CW3" s="1175"/>
      <c r="CX3" s="1175"/>
      <c r="CY3" s="1175"/>
      <c r="CZ3" s="1175"/>
      <c r="DA3" s="1175"/>
      <c r="DB3" s="1175"/>
      <c r="DC3" s="1175"/>
      <c r="DD3" s="1175"/>
      <c r="DE3" s="1175"/>
      <c r="DF3" s="1175"/>
      <c r="DG3" s="1175"/>
      <c r="DH3" s="1175"/>
      <c r="DI3" s="1175"/>
      <c r="DJ3" s="1175"/>
      <c r="DK3" s="1175"/>
      <c r="DL3" s="1175"/>
      <c r="DM3" s="1175"/>
      <c r="DN3" s="1175"/>
      <c r="DO3" s="1175"/>
      <c r="DP3" s="1175"/>
      <c r="DQ3" s="1175"/>
      <c r="DR3" s="1175"/>
      <c r="DS3" s="1175"/>
      <c r="DT3" s="1175"/>
      <c r="DU3" s="1175"/>
      <c r="DV3" s="1175"/>
      <c r="DW3" s="1175"/>
      <c r="DX3" s="1175"/>
      <c r="DY3" s="1175"/>
      <c r="DZ3" s="1175"/>
      <c r="EA3" s="1175"/>
      <c r="EB3" s="1175"/>
      <c r="EC3" s="1175"/>
      <c r="ED3" s="1175"/>
      <c r="EE3" s="1175"/>
      <c r="EF3" s="1175"/>
      <c r="EG3" s="1175"/>
      <c r="EH3" s="1175"/>
      <c r="EI3" s="1175"/>
      <c r="EJ3" s="1175"/>
      <c r="EK3" s="1175"/>
      <c r="EL3" s="1175"/>
      <c r="EM3" s="1175"/>
      <c r="EN3" s="1175"/>
      <c r="EO3" s="1175"/>
      <c r="EP3" s="1175"/>
      <c r="EQ3" s="1175"/>
      <c r="ER3" s="1175"/>
      <c r="ES3" s="1175"/>
      <c r="ET3" s="1175"/>
      <c r="EU3" s="1175"/>
      <c r="EV3" s="1175"/>
      <c r="EW3" s="1175"/>
      <c r="EX3" s="1175"/>
      <c r="EY3" s="1175"/>
      <c r="EZ3" s="1175"/>
      <c r="FA3" s="1175"/>
      <c r="FB3" s="1175"/>
      <c r="FC3" s="1175"/>
      <c r="FD3" s="1175"/>
      <c r="FE3" s="1175"/>
      <c r="FF3" s="1175"/>
      <c r="FG3" s="1175"/>
      <c r="FH3" s="1175"/>
      <c r="FI3" s="1175"/>
      <c r="FJ3" s="1175"/>
      <c r="FK3" s="1175"/>
      <c r="FL3" s="1175"/>
      <c r="FM3" s="1175"/>
      <c r="FN3" s="1175"/>
      <c r="FO3" s="1175"/>
      <c r="FP3" s="1175"/>
      <c r="FQ3" s="1175"/>
      <c r="FR3" s="1175"/>
      <c r="FS3" s="1175"/>
      <c r="FT3" s="1175"/>
      <c r="FU3" s="1175"/>
      <c r="FV3" s="1175"/>
      <c r="FW3" s="1175"/>
      <c r="FX3" s="1175"/>
      <c r="FY3" s="1175"/>
      <c r="FZ3" s="1175"/>
      <c r="GA3" s="1175"/>
      <c r="GB3" s="1175"/>
      <c r="GC3" s="1175"/>
      <c r="GD3" s="1175"/>
      <c r="GE3" s="1175"/>
      <c r="GF3" s="1175"/>
      <c r="GG3" s="1175"/>
      <c r="GH3" s="1175"/>
      <c r="GI3" s="1175"/>
      <c r="GJ3" s="1175"/>
      <c r="GK3" s="1175"/>
      <c r="GL3" s="1175"/>
      <c r="GM3" s="1175"/>
      <c r="GN3" s="1175"/>
      <c r="GO3" s="1175"/>
      <c r="GP3" s="1175"/>
      <c r="GQ3" s="1175"/>
      <c r="GR3" s="1175"/>
      <c r="GS3" s="1175"/>
      <c r="GT3" s="1175"/>
      <c r="GU3" s="1175"/>
      <c r="GV3" s="1175"/>
      <c r="GW3" s="1175"/>
      <c r="GX3" s="1175"/>
      <c r="GY3" s="1175"/>
      <c r="GZ3" s="1175"/>
      <c r="HA3" s="1175"/>
      <c r="HB3" s="1175"/>
      <c r="HC3" s="1175"/>
      <c r="HD3" s="1175"/>
      <c r="HE3" s="1175"/>
      <c r="HF3" s="1175"/>
      <c r="HG3" s="1175"/>
      <c r="HH3" s="1175"/>
      <c r="HI3" s="1175"/>
      <c r="HJ3" s="1175"/>
      <c r="HK3" s="1175"/>
      <c r="HL3" s="1175"/>
      <c r="HM3" s="1175"/>
      <c r="HN3" s="1175"/>
      <c r="HO3" s="1175"/>
      <c r="HP3" s="1175"/>
      <c r="HQ3" s="1175"/>
      <c r="HR3" s="1175"/>
      <c r="HS3" s="1175"/>
      <c r="HT3" s="1175"/>
      <c r="HU3" s="1175"/>
      <c r="HV3" s="1175"/>
      <c r="HW3" s="1175"/>
      <c r="HX3" s="1175"/>
      <c r="HY3" s="1175"/>
      <c r="HZ3" s="1175"/>
      <c r="IA3" s="1175"/>
      <c r="IB3" s="1175"/>
      <c r="IC3" s="1175"/>
      <c r="ID3" s="1175"/>
      <c r="IE3" s="1175"/>
      <c r="IF3" s="1175"/>
      <c r="IG3" s="1175"/>
      <c r="IH3" s="1175"/>
      <c r="II3" s="1175"/>
      <c r="IJ3" s="1175"/>
      <c r="IK3" s="1175"/>
      <c r="IL3" s="1175"/>
      <c r="IM3" s="1175"/>
      <c r="IN3" s="1175"/>
      <c r="IO3" s="1175"/>
      <c r="IP3" s="1175"/>
      <c r="IQ3" s="1175"/>
      <c r="IR3" s="1175"/>
      <c r="IS3" s="1175"/>
      <c r="IT3" s="1175"/>
      <c r="IU3" s="1175"/>
      <c r="IV3" s="1175"/>
    </row>
    <row r="4" spans="1:256" ht="11.25" customHeight="1" thickBot="1">
      <c r="A4" s="1732"/>
      <c r="B4" s="1733"/>
      <c r="C4" s="1734"/>
      <c r="D4" s="1734"/>
      <c r="E4" s="1175"/>
      <c r="F4" s="1175"/>
      <c r="G4" s="1175"/>
      <c r="H4" s="1175"/>
      <c r="I4" s="1175"/>
      <c r="J4" s="1175"/>
      <c r="K4" s="1175"/>
      <c r="L4" s="1175"/>
      <c r="M4" s="1175"/>
      <c r="N4" s="1175"/>
      <c r="O4" s="1175"/>
      <c r="P4" s="1175"/>
      <c r="Q4" s="1175"/>
      <c r="R4" s="1175"/>
      <c r="S4" s="1175"/>
      <c r="T4" s="1175"/>
      <c r="U4" s="1175"/>
      <c r="V4" s="1175"/>
      <c r="W4" s="1175"/>
      <c r="X4" s="1175"/>
      <c r="Y4" s="1175"/>
      <c r="Z4" s="1175"/>
      <c r="AA4" s="1175"/>
      <c r="AB4" s="1175"/>
      <c r="AC4" s="1175"/>
      <c r="AD4" s="1175"/>
      <c r="AE4" s="1175"/>
      <c r="AF4" s="1175"/>
      <c r="AG4" s="1175"/>
      <c r="AH4" s="1175"/>
      <c r="AI4" s="1175"/>
      <c r="AJ4" s="1175"/>
      <c r="AK4" s="1175"/>
      <c r="AL4" s="1175"/>
      <c r="AM4" s="1175"/>
      <c r="AN4" s="1175"/>
      <c r="AO4" s="1175"/>
      <c r="AP4" s="1175"/>
      <c r="AQ4" s="1175"/>
      <c r="AR4" s="1175"/>
      <c r="AS4" s="1175"/>
      <c r="AT4" s="1175"/>
      <c r="AU4" s="1175"/>
      <c r="AV4" s="1175"/>
      <c r="AW4" s="1175"/>
      <c r="AX4" s="1175"/>
      <c r="AY4" s="1175"/>
      <c r="AZ4" s="1175"/>
      <c r="BA4" s="1175"/>
      <c r="BB4" s="1175"/>
      <c r="BC4" s="1175"/>
      <c r="BD4" s="1175"/>
      <c r="BE4" s="1175"/>
      <c r="BF4" s="1175"/>
      <c r="BG4" s="1175"/>
      <c r="BH4" s="1175"/>
      <c r="BI4" s="1175"/>
      <c r="BJ4" s="1175"/>
      <c r="BK4" s="1175"/>
      <c r="BL4" s="1175"/>
      <c r="BM4" s="1175"/>
      <c r="BN4" s="1175"/>
      <c r="BO4" s="1175"/>
      <c r="BP4" s="1175"/>
      <c r="BQ4" s="1175"/>
      <c r="BR4" s="1175"/>
      <c r="BS4" s="1175"/>
      <c r="BT4" s="1175"/>
      <c r="BU4" s="1175"/>
      <c r="BV4" s="1175"/>
      <c r="BW4" s="1175"/>
      <c r="BX4" s="1175"/>
      <c r="BY4" s="1175"/>
      <c r="BZ4" s="1175"/>
      <c r="CA4" s="1175"/>
      <c r="CB4" s="1175"/>
      <c r="CC4" s="1175"/>
      <c r="CD4" s="1175"/>
      <c r="CE4" s="1175"/>
      <c r="CF4" s="1175"/>
      <c r="CG4" s="1175"/>
      <c r="CH4" s="1175"/>
      <c r="CI4" s="1175"/>
      <c r="CJ4" s="1175"/>
      <c r="CK4" s="1175"/>
      <c r="CL4" s="1175"/>
      <c r="CM4" s="1175"/>
      <c r="CN4" s="1175"/>
      <c r="CO4" s="1175"/>
      <c r="CP4" s="1175"/>
      <c r="CQ4" s="1175"/>
      <c r="CR4" s="1175"/>
      <c r="CS4" s="1175"/>
      <c r="CT4" s="1175"/>
      <c r="CU4" s="1175"/>
      <c r="CV4" s="1175"/>
      <c r="CW4" s="1175"/>
      <c r="CX4" s="1175"/>
      <c r="CY4" s="1175"/>
      <c r="CZ4" s="1175"/>
      <c r="DA4" s="1175"/>
      <c r="DB4" s="1175"/>
      <c r="DC4" s="1175"/>
      <c r="DD4" s="1175"/>
      <c r="DE4" s="1175"/>
      <c r="DF4" s="1175"/>
      <c r="DG4" s="1175"/>
      <c r="DH4" s="1175"/>
      <c r="DI4" s="1175"/>
      <c r="DJ4" s="1175"/>
      <c r="DK4" s="1175"/>
      <c r="DL4" s="1175"/>
      <c r="DM4" s="1175"/>
      <c r="DN4" s="1175"/>
      <c r="DO4" s="1175"/>
      <c r="DP4" s="1175"/>
      <c r="DQ4" s="1175"/>
      <c r="DR4" s="1175"/>
      <c r="DS4" s="1175"/>
      <c r="DT4" s="1175"/>
      <c r="DU4" s="1175"/>
      <c r="DV4" s="1175"/>
      <c r="DW4" s="1175"/>
      <c r="DX4" s="1175"/>
      <c r="DY4" s="1175"/>
      <c r="DZ4" s="1175"/>
      <c r="EA4" s="1175"/>
      <c r="EB4" s="1175"/>
      <c r="EC4" s="1175"/>
      <c r="ED4" s="1175"/>
      <c r="EE4" s="1175"/>
      <c r="EF4" s="1175"/>
      <c r="EG4" s="1175"/>
      <c r="EH4" s="1175"/>
      <c r="EI4" s="1175"/>
      <c r="EJ4" s="1175"/>
      <c r="EK4" s="1175"/>
      <c r="EL4" s="1175"/>
      <c r="EM4" s="1175"/>
      <c r="EN4" s="1175"/>
      <c r="EO4" s="1175"/>
      <c r="EP4" s="1175"/>
      <c r="EQ4" s="1175"/>
      <c r="ER4" s="1175"/>
      <c r="ES4" s="1175"/>
      <c r="ET4" s="1175"/>
      <c r="EU4" s="1175"/>
      <c r="EV4" s="1175"/>
      <c r="EW4" s="1175"/>
      <c r="EX4" s="1175"/>
      <c r="EY4" s="1175"/>
      <c r="EZ4" s="1175"/>
      <c r="FA4" s="1175"/>
      <c r="FB4" s="1175"/>
      <c r="FC4" s="1175"/>
      <c r="FD4" s="1175"/>
      <c r="FE4" s="1175"/>
      <c r="FF4" s="1175"/>
      <c r="FG4" s="1175"/>
      <c r="FH4" s="1175"/>
      <c r="FI4" s="1175"/>
      <c r="FJ4" s="1175"/>
      <c r="FK4" s="1175"/>
      <c r="FL4" s="1175"/>
      <c r="FM4" s="1175"/>
      <c r="FN4" s="1175"/>
      <c r="FO4" s="1175"/>
      <c r="FP4" s="1175"/>
      <c r="FQ4" s="1175"/>
      <c r="FR4" s="1175"/>
      <c r="FS4" s="1175"/>
      <c r="FT4" s="1175"/>
      <c r="FU4" s="1175"/>
      <c r="FV4" s="1175"/>
      <c r="FW4" s="1175"/>
      <c r="FX4" s="1175"/>
      <c r="FY4" s="1175"/>
      <c r="FZ4" s="1175"/>
      <c r="GA4" s="1175"/>
      <c r="GB4" s="1175"/>
      <c r="GC4" s="1175"/>
      <c r="GD4" s="1175"/>
      <c r="GE4" s="1175"/>
      <c r="GF4" s="1175"/>
      <c r="GG4" s="1175"/>
      <c r="GH4" s="1175"/>
      <c r="GI4" s="1175"/>
      <c r="GJ4" s="1175"/>
      <c r="GK4" s="1175"/>
      <c r="GL4" s="1175"/>
      <c r="GM4" s="1175"/>
      <c r="GN4" s="1175"/>
      <c r="GO4" s="1175"/>
      <c r="GP4" s="1175"/>
      <c r="GQ4" s="1175"/>
      <c r="GR4" s="1175"/>
      <c r="GS4" s="1175"/>
      <c r="GT4" s="1175"/>
      <c r="GU4" s="1175"/>
      <c r="GV4" s="1175"/>
      <c r="GW4" s="1175"/>
      <c r="GX4" s="1175"/>
      <c r="GY4" s="1175"/>
      <c r="GZ4" s="1175"/>
      <c r="HA4" s="1175"/>
      <c r="HB4" s="1175"/>
      <c r="HC4" s="1175"/>
      <c r="HD4" s="1175"/>
      <c r="HE4" s="1175"/>
      <c r="HF4" s="1175"/>
      <c r="HG4" s="1175"/>
      <c r="HH4" s="1175"/>
      <c r="HI4" s="1175"/>
      <c r="HJ4" s="1175"/>
      <c r="HK4" s="1175"/>
      <c r="HL4" s="1175"/>
      <c r="HM4" s="1175"/>
      <c r="HN4" s="1175"/>
      <c r="HO4" s="1175"/>
      <c r="HP4" s="1175"/>
      <c r="HQ4" s="1175"/>
      <c r="HR4" s="1175"/>
      <c r="HS4" s="1175"/>
      <c r="HT4" s="1175"/>
      <c r="HU4" s="1175"/>
      <c r="HV4" s="1175"/>
      <c r="HW4" s="1175"/>
      <c r="HX4" s="1175"/>
      <c r="HY4" s="1175"/>
      <c r="HZ4" s="1175"/>
      <c r="IA4" s="1175"/>
      <c r="IB4" s="1175"/>
      <c r="IC4" s="1175"/>
      <c r="ID4" s="1175"/>
      <c r="IE4" s="1175"/>
      <c r="IF4" s="1175"/>
      <c r="IG4" s="1175"/>
      <c r="IH4" s="1175"/>
      <c r="II4" s="1175"/>
      <c r="IJ4" s="1175"/>
      <c r="IK4" s="1175"/>
      <c r="IL4" s="1175"/>
      <c r="IM4" s="1175"/>
      <c r="IN4" s="1175"/>
      <c r="IO4" s="1175"/>
      <c r="IP4" s="1175"/>
      <c r="IQ4" s="1175"/>
      <c r="IR4" s="1175"/>
      <c r="IS4" s="1175"/>
      <c r="IT4" s="1175"/>
      <c r="IU4" s="1175"/>
      <c r="IV4" s="1175"/>
    </row>
    <row r="5" spans="1:256" ht="12.75" customHeight="1">
      <c r="A5" s="1732"/>
      <c r="B5" s="1733"/>
      <c r="C5" s="1735" t="s">
        <v>760</v>
      </c>
      <c r="D5" s="1735"/>
      <c r="E5" s="1175"/>
      <c r="F5" s="1175"/>
      <c r="G5" s="1175"/>
      <c r="H5" s="1175"/>
      <c r="I5" s="1175"/>
      <c r="J5" s="1175"/>
      <c r="K5" s="1175"/>
      <c r="L5" s="1175"/>
      <c r="M5" s="1175"/>
      <c r="N5" s="1175"/>
      <c r="O5" s="1175"/>
      <c r="P5" s="1175"/>
      <c r="Q5" s="1175"/>
      <c r="R5" s="1175"/>
      <c r="S5" s="1175"/>
      <c r="T5" s="1175"/>
      <c r="U5" s="1175"/>
      <c r="V5" s="1175"/>
      <c r="W5" s="1175"/>
      <c r="X5" s="1175"/>
      <c r="Y5" s="1175"/>
      <c r="Z5" s="1175"/>
      <c r="AA5" s="1175"/>
      <c r="AB5" s="1175"/>
      <c r="AC5" s="1175"/>
      <c r="AD5" s="1175"/>
      <c r="AE5" s="1175"/>
      <c r="AF5" s="1175"/>
      <c r="AG5" s="1175"/>
      <c r="AH5" s="1175"/>
      <c r="AI5" s="1175"/>
      <c r="AJ5" s="1175"/>
      <c r="AK5" s="1175"/>
      <c r="AL5" s="1175"/>
      <c r="AM5" s="1175"/>
      <c r="AN5" s="1175"/>
      <c r="AO5" s="1175"/>
      <c r="AP5" s="1175"/>
      <c r="AQ5" s="1175"/>
      <c r="AR5" s="1175"/>
      <c r="AS5" s="1175"/>
      <c r="AT5" s="1175"/>
      <c r="AU5" s="1175"/>
      <c r="AV5" s="1175"/>
      <c r="AW5" s="1175"/>
      <c r="AX5" s="1175"/>
      <c r="AY5" s="1175"/>
      <c r="AZ5" s="1175"/>
      <c r="BA5" s="1175"/>
      <c r="BB5" s="1175"/>
      <c r="BC5" s="1175"/>
      <c r="BD5" s="1175"/>
      <c r="BE5" s="1175"/>
      <c r="BF5" s="1175"/>
      <c r="BG5" s="1175"/>
      <c r="BH5" s="1175"/>
      <c r="BI5" s="1175"/>
      <c r="BJ5" s="1175"/>
      <c r="BK5" s="1175"/>
      <c r="BL5" s="1175"/>
      <c r="BM5" s="1175"/>
      <c r="BN5" s="1175"/>
      <c r="BO5" s="1175"/>
      <c r="BP5" s="1175"/>
      <c r="BQ5" s="1175"/>
      <c r="BR5" s="1175"/>
      <c r="BS5" s="1175"/>
      <c r="BT5" s="1175"/>
      <c r="BU5" s="1175"/>
      <c r="BV5" s="1175"/>
      <c r="BW5" s="1175"/>
      <c r="BX5" s="1175"/>
      <c r="BY5" s="1175"/>
      <c r="BZ5" s="1175"/>
      <c r="CA5" s="1175"/>
      <c r="CB5" s="1175"/>
      <c r="CC5" s="1175"/>
      <c r="CD5" s="1175"/>
      <c r="CE5" s="1175"/>
      <c r="CF5" s="1175"/>
      <c r="CG5" s="1175"/>
      <c r="CH5" s="1175"/>
      <c r="CI5" s="1175"/>
      <c r="CJ5" s="1175"/>
      <c r="CK5" s="1175"/>
      <c r="CL5" s="1175"/>
      <c r="CM5" s="1175"/>
      <c r="CN5" s="1175"/>
      <c r="CO5" s="1175"/>
      <c r="CP5" s="1175"/>
      <c r="CQ5" s="1175"/>
      <c r="CR5" s="1175"/>
      <c r="CS5" s="1175"/>
      <c r="CT5" s="1175"/>
      <c r="CU5" s="1175"/>
      <c r="CV5" s="1175"/>
      <c r="CW5" s="1175"/>
      <c r="CX5" s="1175"/>
      <c r="CY5" s="1175"/>
      <c r="CZ5" s="1175"/>
      <c r="DA5" s="1175"/>
      <c r="DB5" s="1175"/>
      <c r="DC5" s="1175"/>
      <c r="DD5" s="1175"/>
      <c r="DE5" s="1175"/>
      <c r="DF5" s="1175"/>
      <c r="DG5" s="1175"/>
      <c r="DH5" s="1175"/>
      <c r="DI5" s="1175"/>
      <c r="DJ5" s="1175"/>
      <c r="DK5" s="1175"/>
      <c r="DL5" s="1175"/>
      <c r="DM5" s="1175"/>
      <c r="DN5" s="1175"/>
      <c r="DO5" s="1175"/>
      <c r="DP5" s="1175"/>
      <c r="DQ5" s="1175"/>
      <c r="DR5" s="1175"/>
      <c r="DS5" s="1175"/>
      <c r="DT5" s="1175"/>
      <c r="DU5" s="1175"/>
      <c r="DV5" s="1175"/>
      <c r="DW5" s="1175"/>
      <c r="DX5" s="1175"/>
      <c r="DY5" s="1175"/>
      <c r="DZ5" s="1175"/>
      <c r="EA5" s="1175"/>
      <c r="EB5" s="1175"/>
      <c r="EC5" s="1175"/>
      <c r="ED5" s="1175"/>
      <c r="EE5" s="1175"/>
      <c r="EF5" s="1175"/>
      <c r="EG5" s="1175"/>
      <c r="EH5" s="1175"/>
      <c r="EI5" s="1175"/>
      <c r="EJ5" s="1175"/>
      <c r="EK5" s="1175"/>
      <c r="EL5" s="1175"/>
      <c r="EM5" s="1175"/>
      <c r="EN5" s="1175"/>
      <c r="EO5" s="1175"/>
      <c r="EP5" s="1175"/>
      <c r="EQ5" s="1175"/>
      <c r="ER5" s="1175"/>
      <c r="ES5" s="1175"/>
      <c r="ET5" s="1175"/>
      <c r="EU5" s="1175"/>
      <c r="EV5" s="1175"/>
      <c r="EW5" s="1175"/>
      <c r="EX5" s="1175"/>
      <c r="EY5" s="1175"/>
      <c r="EZ5" s="1175"/>
      <c r="FA5" s="1175"/>
      <c r="FB5" s="1175"/>
      <c r="FC5" s="1175"/>
      <c r="FD5" s="1175"/>
      <c r="FE5" s="1175"/>
      <c r="FF5" s="1175"/>
      <c r="FG5" s="1175"/>
      <c r="FH5" s="1175"/>
      <c r="FI5" s="1175"/>
      <c r="FJ5" s="1175"/>
      <c r="FK5" s="1175"/>
      <c r="FL5" s="1175"/>
      <c r="FM5" s="1175"/>
      <c r="FN5" s="1175"/>
      <c r="FO5" s="1175"/>
      <c r="FP5" s="1175"/>
      <c r="FQ5" s="1175"/>
      <c r="FR5" s="1175"/>
      <c r="FS5" s="1175"/>
      <c r="FT5" s="1175"/>
      <c r="FU5" s="1175"/>
      <c r="FV5" s="1175"/>
      <c r="FW5" s="1175"/>
      <c r="FX5" s="1175"/>
      <c r="FY5" s="1175"/>
      <c r="FZ5" s="1175"/>
      <c r="GA5" s="1175"/>
      <c r="GB5" s="1175"/>
      <c r="GC5" s="1175"/>
      <c r="GD5" s="1175"/>
      <c r="GE5" s="1175"/>
      <c r="GF5" s="1175"/>
      <c r="GG5" s="1175"/>
      <c r="GH5" s="1175"/>
      <c r="GI5" s="1175"/>
      <c r="GJ5" s="1175"/>
      <c r="GK5" s="1175"/>
      <c r="GL5" s="1175"/>
      <c r="GM5" s="1175"/>
      <c r="GN5" s="1175"/>
      <c r="GO5" s="1175"/>
      <c r="GP5" s="1175"/>
      <c r="GQ5" s="1175"/>
      <c r="GR5" s="1175"/>
      <c r="GS5" s="1175"/>
      <c r="GT5" s="1175"/>
      <c r="GU5" s="1175"/>
      <c r="GV5" s="1175"/>
      <c r="GW5" s="1175"/>
      <c r="GX5" s="1175"/>
      <c r="GY5" s="1175"/>
      <c r="GZ5" s="1175"/>
      <c r="HA5" s="1175"/>
      <c r="HB5" s="1175"/>
      <c r="HC5" s="1175"/>
      <c r="HD5" s="1175"/>
      <c r="HE5" s="1175"/>
      <c r="HF5" s="1175"/>
      <c r="HG5" s="1175"/>
      <c r="HH5" s="1175"/>
      <c r="HI5" s="1175"/>
      <c r="HJ5" s="1175"/>
      <c r="HK5" s="1175"/>
      <c r="HL5" s="1175"/>
      <c r="HM5" s="1175"/>
      <c r="HN5" s="1175"/>
      <c r="HO5" s="1175"/>
      <c r="HP5" s="1175"/>
      <c r="HQ5" s="1175"/>
      <c r="HR5" s="1175"/>
      <c r="HS5" s="1175"/>
      <c r="HT5" s="1175"/>
      <c r="HU5" s="1175"/>
      <c r="HV5" s="1175"/>
      <c r="HW5" s="1175"/>
      <c r="HX5" s="1175"/>
      <c r="HY5" s="1175"/>
      <c r="HZ5" s="1175"/>
      <c r="IA5" s="1175"/>
      <c r="IB5" s="1175"/>
      <c r="IC5" s="1175"/>
      <c r="ID5" s="1175"/>
      <c r="IE5" s="1175"/>
      <c r="IF5" s="1175"/>
      <c r="IG5" s="1175"/>
      <c r="IH5" s="1175"/>
      <c r="II5" s="1175"/>
      <c r="IJ5" s="1175"/>
      <c r="IK5" s="1175"/>
      <c r="IL5" s="1175"/>
      <c r="IM5" s="1175"/>
      <c r="IN5" s="1175"/>
      <c r="IO5" s="1175"/>
      <c r="IP5" s="1175"/>
      <c r="IQ5" s="1175"/>
      <c r="IR5" s="1175"/>
      <c r="IS5" s="1175"/>
      <c r="IT5" s="1175"/>
      <c r="IU5" s="1175"/>
      <c r="IV5" s="1175"/>
    </row>
    <row r="6" spans="1:4" s="1177" customFormat="1" ht="16.5" thickBot="1">
      <c r="A6" s="1060" t="s">
        <v>761</v>
      </c>
      <c r="B6" s="1061" t="s">
        <v>14</v>
      </c>
      <c r="C6" s="1061" t="s">
        <v>560</v>
      </c>
      <c r="D6" s="1061" t="s">
        <v>561</v>
      </c>
    </row>
    <row r="7" spans="1:4" s="1179" customFormat="1" ht="15.75">
      <c r="A7" s="1063" t="s">
        <v>762</v>
      </c>
      <c r="B7" s="1064" t="s">
        <v>763</v>
      </c>
      <c r="C7" s="1178">
        <f>SUM(C8:C11)</f>
        <v>31145743</v>
      </c>
      <c r="D7" s="1178">
        <f>SUM(D8:D11)</f>
        <v>5687860</v>
      </c>
    </row>
    <row r="8" spans="1:4" s="1179" customFormat="1" ht="15.75">
      <c r="A8" s="1066" t="s">
        <v>764</v>
      </c>
      <c r="B8" s="1180" t="s">
        <v>765</v>
      </c>
      <c r="C8" s="1067"/>
      <c r="D8" s="1067"/>
    </row>
    <row r="9" spans="1:4" s="1179" customFormat="1" ht="38.25">
      <c r="A9" s="1066" t="s">
        <v>766</v>
      </c>
      <c r="B9" s="1180" t="s">
        <v>767</v>
      </c>
      <c r="C9" s="1067"/>
      <c r="D9" s="1067"/>
    </row>
    <row r="10" spans="1:4" s="1179" customFormat="1" ht="15.75">
      <c r="A10" s="1066" t="s">
        <v>768</v>
      </c>
      <c r="B10" s="1180" t="s">
        <v>769</v>
      </c>
      <c r="C10" s="1067">
        <f>16857955+32390+7892898</f>
        <v>24783243</v>
      </c>
      <c r="D10" s="1067">
        <f>+C10-32390-19062993</f>
        <v>5687860</v>
      </c>
    </row>
    <row r="11" spans="1:4" s="1179" customFormat="1" ht="15.75">
      <c r="A11" s="1066" t="s">
        <v>770</v>
      </c>
      <c r="B11" s="1180" t="s">
        <v>771</v>
      </c>
      <c r="C11" s="1067">
        <v>6362500</v>
      </c>
      <c r="D11" s="1067">
        <f>+C11-6362500</f>
        <v>0</v>
      </c>
    </row>
    <row r="12" spans="1:4" s="1179" customFormat="1" ht="15.75">
      <c r="A12" s="1068" t="s">
        <v>772</v>
      </c>
      <c r="B12" s="1069" t="s">
        <v>773</v>
      </c>
      <c r="C12" s="1070">
        <f>SUM(C13+C18+C23+C28+C33)</f>
        <v>1537842445</v>
      </c>
      <c r="D12" s="1070">
        <f>SUM(D13+D18+D23+D28+D33)</f>
        <v>1128155672</v>
      </c>
    </row>
    <row r="13" spans="1:4" s="1179" customFormat="1" ht="15.75">
      <c r="A13" s="1068" t="s">
        <v>774</v>
      </c>
      <c r="B13" s="1069" t="s">
        <v>775</v>
      </c>
      <c r="C13" s="1070">
        <f>SUM(C14:C17)</f>
        <v>1447217487</v>
      </c>
      <c r="D13" s="1070">
        <f>SUM(D14:D17)</f>
        <v>1092230634</v>
      </c>
    </row>
    <row r="14" spans="1:4" s="1179" customFormat="1" ht="15.75">
      <c r="A14" s="1066" t="s">
        <v>776</v>
      </c>
      <c r="B14" s="1180" t="s">
        <v>777</v>
      </c>
      <c r="C14" s="1067">
        <f>25543600+34085349+713551790+138000+62052</f>
        <v>773380791</v>
      </c>
      <c r="D14" s="1067">
        <f>+C14-7926435-228277550</f>
        <v>537176806</v>
      </c>
    </row>
    <row r="15" spans="1:4" s="1179" customFormat="1" ht="37.5" customHeight="1">
      <c r="A15" s="1066" t="s">
        <v>778</v>
      </c>
      <c r="B15" s="1180" t="s">
        <v>779</v>
      </c>
      <c r="C15" s="1067">
        <v>23000</v>
      </c>
      <c r="D15" s="1067">
        <f>+C15</f>
        <v>23000</v>
      </c>
    </row>
    <row r="16" spans="1:4" s="1179" customFormat="1" ht="25.5">
      <c r="A16" s="1066" t="s">
        <v>780</v>
      </c>
      <c r="B16" s="1180" t="s">
        <v>396</v>
      </c>
      <c r="C16" s="1067">
        <f>49940+263470+67535226+2378000+9335000+1285283+493202284</f>
        <v>574049203</v>
      </c>
      <c r="D16" s="1067">
        <f>+C16-637479-89455473-16246734</f>
        <v>467709517</v>
      </c>
    </row>
    <row r="17" spans="1:4" s="1179" customFormat="1" ht="15.75">
      <c r="A17" s="1066" t="s">
        <v>781</v>
      </c>
      <c r="B17" s="1180" t="s">
        <v>398</v>
      </c>
      <c r="C17" s="1067">
        <f>15207000+606000+15863020+12934532+44936596+9982575+234770</f>
        <v>99764493</v>
      </c>
      <c r="D17" s="1067">
        <f>+C17-3171888-4758740-4512554</f>
        <v>87321311</v>
      </c>
    </row>
    <row r="18" spans="1:4" s="1179" customFormat="1" ht="15.75">
      <c r="A18" s="1068" t="s">
        <v>782</v>
      </c>
      <c r="B18" s="1069" t="s">
        <v>399</v>
      </c>
      <c r="C18" s="1070">
        <f>SUM(C19:C22)</f>
        <v>80253046</v>
      </c>
      <c r="D18" s="1070">
        <f>SUM(D19:D22)</f>
        <v>25553126</v>
      </c>
    </row>
    <row r="19" spans="1:4" s="1179" customFormat="1" ht="15.75">
      <c r="A19" s="1066" t="s">
        <v>783</v>
      </c>
      <c r="B19" s="1180" t="s">
        <v>400</v>
      </c>
      <c r="C19" s="1067"/>
      <c r="D19" s="1067"/>
    </row>
    <row r="20" spans="1:4" s="1179" customFormat="1" ht="38.25">
      <c r="A20" s="1066" t="s">
        <v>784</v>
      </c>
      <c r="B20" s="1180" t="s">
        <v>401</v>
      </c>
      <c r="C20" s="1067"/>
      <c r="D20" s="1067"/>
    </row>
    <row r="21" spans="1:4" s="1179" customFormat="1" ht="25.5">
      <c r="A21" s="1066" t="s">
        <v>785</v>
      </c>
      <c r="B21" s="1180" t="s">
        <v>402</v>
      </c>
      <c r="C21" s="1067">
        <v>12194908</v>
      </c>
      <c r="D21" s="1067">
        <f>+C21-12194908</f>
        <v>0</v>
      </c>
    </row>
    <row r="22" spans="1:4" s="1179" customFormat="1" ht="15.75">
      <c r="A22" s="1066" t="s">
        <v>786</v>
      </c>
      <c r="B22" s="1180" t="s">
        <v>574</v>
      </c>
      <c r="C22" s="1067">
        <f>16923098+9679463+8262500+17373396+415000+10579000+1768020+3057661</f>
        <v>68058138</v>
      </c>
      <c r="D22" s="1067">
        <f>+C22-1768020-3057661-19337395-9679463-8662473</f>
        <v>25553126</v>
      </c>
    </row>
    <row r="23" spans="1:4" s="1179" customFormat="1" ht="15.75">
      <c r="A23" s="1068" t="s">
        <v>787</v>
      </c>
      <c r="B23" s="1069" t="s">
        <v>575</v>
      </c>
      <c r="C23" s="1071"/>
      <c r="D23" s="1071"/>
    </row>
    <row r="24" spans="1:4" s="1179" customFormat="1" ht="15.75">
      <c r="A24" s="1066" t="s">
        <v>788</v>
      </c>
      <c r="B24" s="1180" t="s">
        <v>577</v>
      </c>
      <c r="C24" s="1067"/>
      <c r="D24" s="1067"/>
    </row>
    <row r="25" spans="1:4" s="1179" customFormat="1" ht="15.75">
      <c r="A25" s="1066" t="s">
        <v>789</v>
      </c>
      <c r="B25" s="1180" t="s">
        <v>700</v>
      </c>
      <c r="C25" s="1067"/>
      <c r="D25" s="1067"/>
    </row>
    <row r="26" spans="1:4" s="1179" customFormat="1" ht="15.75">
      <c r="A26" s="1066" t="s">
        <v>790</v>
      </c>
      <c r="B26" s="1180" t="s">
        <v>701</v>
      </c>
      <c r="C26" s="1067"/>
      <c r="D26" s="1067"/>
    </row>
    <row r="27" spans="1:4" s="1179" customFormat="1" ht="15.75">
      <c r="A27" s="1066" t="s">
        <v>791</v>
      </c>
      <c r="B27" s="1180" t="s">
        <v>702</v>
      </c>
      <c r="C27" s="1067"/>
      <c r="D27" s="1067"/>
    </row>
    <row r="28" spans="1:4" s="1179" customFormat="1" ht="15.75">
      <c r="A28" s="1068" t="s">
        <v>792</v>
      </c>
      <c r="B28" s="1069" t="s">
        <v>728</v>
      </c>
      <c r="C28" s="1070">
        <f>SUM(C29:C32)</f>
        <v>10371912</v>
      </c>
      <c r="D28" s="1070">
        <f>SUM(D29:D32)</f>
        <v>10371912</v>
      </c>
    </row>
    <row r="29" spans="1:4" s="1179" customFormat="1" ht="15.75">
      <c r="A29" s="1066" t="s">
        <v>793</v>
      </c>
      <c r="B29" s="1180" t="s">
        <v>729</v>
      </c>
      <c r="C29" s="1067">
        <v>8418664</v>
      </c>
      <c r="D29" s="1067">
        <f>+C29</f>
        <v>8418664</v>
      </c>
    </row>
    <row r="30" spans="1:4" s="1179" customFormat="1" ht="25.5">
      <c r="A30" s="1066" t="s">
        <v>794</v>
      </c>
      <c r="B30" s="1180" t="s">
        <v>730</v>
      </c>
      <c r="C30" s="1067"/>
      <c r="D30" s="1067"/>
    </row>
    <row r="31" spans="1:4" s="1179" customFormat="1" ht="15.75">
      <c r="A31" s="1066" t="s">
        <v>795</v>
      </c>
      <c r="B31" s="1180" t="s">
        <v>731</v>
      </c>
      <c r="C31" s="1174">
        <f>1753248+200000</f>
        <v>1953248</v>
      </c>
      <c r="D31" s="1174">
        <f>+C31</f>
        <v>1953248</v>
      </c>
    </row>
    <row r="32" spans="1:4" s="1179" customFormat="1" ht="15.75">
      <c r="A32" s="1066" t="s">
        <v>796</v>
      </c>
      <c r="B32" s="1180" t="s">
        <v>732</v>
      </c>
      <c r="C32" s="1067"/>
      <c r="D32" s="1067"/>
    </row>
    <row r="33" spans="1:4" s="1179" customFormat="1" ht="15.75">
      <c r="A33" s="1068" t="s">
        <v>797</v>
      </c>
      <c r="B33" s="1069" t="s">
        <v>733</v>
      </c>
      <c r="C33" s="1071"/>
      <c r="D33" s="1071"/>
    </row>
    <row r="34" spans="1:4" s="1179" customFormat="1" ht="15.75">
      <c r="A34" s="1066" t="s">
        <v>798</v>
      </c>
      <c r="B34" s="1180" t="s">
        <v>734</v>
      </c>
      <c r="C34" s="1067"/>
      <c r="D34" s="1067"/>
    </row>
    <row r="35" spans="1:4" s="1179" customFormat="1" ht="25.5">
      <c r="A35" s="1066" t="s">
        <v>799</v>
      </c>
      <c r="B35" s="1180" t="s">
        <v>735</v>
      </c>
      <c r="C35" s="1067"/>
      <c r="D35" s="1067"/>
    </row>
    <row r="36" spans="1:4" s="1179" customFormat="1" ht="15.75">
      <c r="A36" s="1066" t="s">
        <v>800</v>
      </c>
      <c r="B36" s="1180" t="s">
        <v>736</v>
      </c>
      <c r="C36" s="1067"/>
      <c r="D36" s="1067"/>
    </row>
    <row r="37" spans="1:4" s="1179" customFormat="1" ht="15.75">
      <c r="A37" s="1066" t="s">
        <v>801</v>
      </c>
      <c r="B37" s="1180" t="s">
        <v>737</v>
      </c>
      <c r="C37" s="1067"/>
      <c r="D37" s="1067"/>
    </row>
    <row r="38" spans="1:4" s="1179" customFormat="1" ht="15.75">
      <c r="A38" s="1068" t="s">
        <v>802</v>
      </c>
      <c r="B38" s="1069" t="s">
        <v>738</v>
      </c>
      <c r="C38" s="1070">
        <f>SUM(C39+C44+C49)</f>
        <v>11580000</v>
      </c>
      <c r="D38" s="1070">
        <f>SUM(D39+D44+D49)</f>
        <v>11580000</v>
      </c>
    </row>
    <row r="39" spans="1:4" s="1179" customFormat="1" ht="15.75">
      <c r="A39" s="1068" t="s">
        <v>803</v>
      </c>
      <c r="B39" s="1069" t="s">
        <v>739</v>
      </c>
      <c r="C39" s="1070">
        <f>SUM(C40:C43)</f>
        <v>11580000</v>
      </c>
      <c r="D39" s="1070">
        <f>SUM(D40:D43)</f>
        <v>11580000</v>
      </c>
    </row>
    <row r="40" spans="1:4" s="1179" customFormat="1" ht="15.75">
      <c r="A40" s="1066" t="s">
        <v>804</v>
      </c>
      <c r="B40" s="1180" t="s">
        <v>805</v>
      </c>
      <c r="C40" s="1067"/>
      <c r="D40" s="1067"/>
    </row>
    <row r="41" spans="1:4" s="1179" customFormat="1" ht="25.5">
      <c r="A41" s="1066" t="s">
        <v>806</v>
      </c>
      <c r="B41" s="1180" t="s">
        <v>807</v>
      </c>
      <c r="C41" s="1067"/>
      <c r="D41" s="1067"/>
    </row>
    <row r="42" spans="1:4" s="1179" customFormat="1" ht="15.75">
      <c r="A42" s="1066" t="s">
        <v>808</v>
      </c>
      <c r="B42" s="1180" t="s">
        <v>809</v>
      </c>
      <c r="C42" s="1067">
        <v>11580000</v>
      </c>
      <c r="D42" s="1067">
        <v>11580000</v>
      </c>
    </row>
    <row r="43" spans="1:4" s="1179" customFormat="1" ht="15.75">
      <c r="A43" s="1066" t="s">
        <v>810</v>
      </c>
      <c r="B43" s="1180" t="s">
        <v>811</v>
      </c>
      <c r="C43" s="1067"/>
      <c r="D43" s="1067"/>
    </row>
    <row r="44" spans="1:4" s="1179" customFormat="1" ht="15.75">
      <c r="A44" s="1068" t="s">
        <v>812</v>
      </c>
      <c r="B44" s="1069" t="s">
        <v>813</v>
      </c>
      <c r="C44" s="1071"/>
      <c r="D44" s="1071"/>
    </row>
    <row r="45" spans="1:4" s="1179" customFormat="1" ht="15.75">
      <c r="A45" s="1066" t="s">
        <v>814</v>
      </c>
      <c r="B45" s="1180" t="s">
        <v>815</v>
      </c>
      <c r="C45" s="1067"/>
      <c r="D45" s="1067"/>
    </row>
    <row r="46" spans="1:4" s="1179" customFormat="1" ht="38.25">
      <c r="A46" s="1066" t="s">
        <v>816</v>
      </c>
      <c r="B46" s="1180" t="s">
        <v>817</v>
      </c>
      <c r="C46" s="1067"/>
      <c r="D46" s="1067"/>
    </row>
    <row r="47" spans="1:4" s="1179" customFormat="1" ht="25.5">
      <c r="A47" s="1066" t="s">
        <v>818</v>
      </c>
      <c r="B47" s="1180" t="s">
        <v>819</v>
      </c>
      <c r="C47" s="1067"/>
      <c r="D47" s="1067"/>
    </row>
    <row r="48" spans="1:4" s="1179" customFormat="1" ht="15.75">
      <c r="A48" s="1066" t="s">
        <v>820</v>
      </c>
      <c r="B48" s="1180" t="s">
        <v>821</v>
      </c>
      <c r="C48" s="1067"/>
      <c r="D48" s="1067"/>
    </row>
    <row r="49" spans="1:4" s="1179" customFormat="1" ht="15.75">
      <c r="A49" s="1068" t="s">
        <v>822</v>
      </c>
      <c r="B49" s="1069" t="s">
        <v>823</v>
      </c>
      <c r="C49" s="1071"/>
      <c r="D49" s="1071"/>
    </row>
    <row r="50" spans="1:4" s="1179" customFormat="1" ht="15.75">
      <c r="A50" s="1066" t="s">
        <v>824</v>
      </c>
      <c r="B50" s="1180" t="s">
        <v>825</v>
      </c>
      <c r="C50" s="1067"/>
      <c r="D50" s="1067"/>
    </row>
    <row r="51" spans="1:4" s="1179" customFormat="1" ht="36.75" customHeight="1">
      <c r="A51" s="1066" t="s">
        <v>826</v>
      </c>
      <c r="B51" s="1180" t="s">
        <v>827</v>
      </c>
      <c r="C51" s="1067"/>
      <c r="D51" s="1067"/>
    </row>
    <row r="52" spans="1:4" s="1179" customFormat="1" ht="25.5">
      <c r="A52" s="1066" t="s">
        <v>828</v>
      </c>
      <c r="B52" s="1180" t="s">
        <v>829</v>
      </c>
      <c r="C52" s="1067"/>
      <c r="D52" s="1067"/>
    </row>
    <row r="53" spans="1:4" s="1179" customFormat="1" ht="15.75">
      <c r="A53" s="1066" t="s">
        <v>830</v>
      </c>
      <c r="B53" s="1180" t="s">
        <v>831</v>
      </c>
      <c r="C53" s="1067"/>
      <c r="D53" s="1067"/>
    </row>
    <row r="54" spans="1:4" s="1179" customFormat="1" ht="15.75">
      <c r="A54" s="1068" t="s">
        <v>832</v>
      </c>
      <c r="B54" s="1180" t="s">
        <v>833</v>
      </c>
      <c r="C54" s="1067">
        <f>37514000+698605494</f>
        <v>736119494</v>
      </c>
      <c r="D54" s="1067">
        <f>+C54-17080780-312343166-37514000</f>
        <v>369181548</v>
      </c>
    </row>
    <row r="55" spans="1:4" ht="25.5">
      <c r="A55" s="1068" t="s">
        <v>834</v>
      </c>
      <c r="B55" s="1069" t="s">
        <v>835</v>
      </c>
      <c r="C55" s="1070">
        <f>SUM(C7+C12+C38+C54)</f>
        <v>2316687682</v>
      </c>
      <c r="D55" s="1070">
        <f>SUM(D7+D12+D38+D54)</f>
        <v>1514605080</v>
      </c>
    </row>
    <row r="56" spans="1:4" ht="15.75">
      <c r="A56" s="1068" t="s">
        <v>836</v>
      </c>
      <c r="B56" s="1180" t="s">
        <v>837</v>
      </c>
      <c r="C56" s="1072"/>
      <c r="D56" s="1072">
        <v>0</v>
      </c>
    </row>
    <row r="57" spans="1:4" ht="15.75">
      <c r="A57" s="1068" t="s">
        <v>838</v>
      </c>
      <c r="B57" s="1180" t="s">
        <v>839</v>
      </c>
      <c r="C57" s="1067"/>
      <c r="D57" s="1067">
        <v>0</v>
      </c>
    </row>
    <row r="58" spans="1:4" ht="15.75">
      <c r="A58" s="1068" t="s">
        <v>840</v>
      </c>
      <c r="B58" s="1069" t="s">
        <v>841</v>
      </c>
      <c r="C58" s="1070"/>
      <c r="D58" s="1070">
        <f>SUM(D56:D57)</f>
        <v>0</v>
      </c>
    </row>
    <row r="59" spans="1:4" ht="15.75">
      <c r="A59" s="1068" t="s">
        <v>842</v>
      </c>
      <c r="B59" s="1180" t="s">
        <v>843</v>
      </c>
      <c r="C59" s="1073"/>
      <c r="D59" s="1072"/>
    </row>
    <row r="60" spans="1:4" ht="15.75">
      <c r="A60" s="1068" t="s">
        <v>844</v>
      </c>
      <c r="B60" s="1180" t="s">
        <v>845</v>
      </c>
      <c r="C60" s="1073"/>
      <c r="D60" s="1072"/>
    </row>
    <row r="61" spans="1:4" ht="15.75">
      <c r="A61" s="1068" t="s">
        <v>846</v>
      </c>
      <c r="B61" s="1180" t="s">
        <v>847</v>
      </c>
      <c r="C61" s="1073"/>
      <c r="D61" s="1072">
        <v>300754216</v>
      </c>
    </row>
    <row r="62" spans="1:4" ht="15.75">
      <c r="A62" s="1068" t="s">
        <v>848</v>
      </c>
      <c r="B62" s="1180" t="s">
        <v>849</v>
      </c>
      <c r="C62" s="1073"/>
      <c r="D62" s="1072"/>
    </row>
    <row r="63" spans="1:4" ht="15.75">
      <c r="A63" s="1068" t="s">
        <v>850</v>
      </c>
      <c r="B63" s="1180" t="s">
        <v>851</v>
      </c>
      <c r="C63" s="1073"/>
      <c r="D63" s="1072"/>
    </row>
    <row r="64" spans="1:4" ht="15.75">
      <c r="A64" s="1068" t="s">
        <v>852</v>
      </c>
      <c r="B64" s="1069" t="s">
        <v>853</v>
      </c>
      <c r="C64" s="1074"/>
      <c r="D64" s="1070">
        <f>SUM(D59:D63)</f>
        <v>300754216</v>
      </c>
    </row>
    <row r="65" spans="1:4" ht="15.75">
      <c r="A65" s="1068" t="s">
        <v>854</v>
      </c>
      <c r="B65" s="1180" t="s">
        <v>855</v>
      </c>
      <c r="C65" s="1073"/>
      <c r="D65" s="1072">
        <v>4593077</v>
      </c>
    </row>
    <row r="66" spans="1:4" ht="15.75">
      <c r="A66" s="1068" t="s">
        <v>856</v>
      </c>
      <c r="B66" s="1180" t="s">
        <v>857</v>
      </c>
      <c r="C66" s="1073"/>
      <c r="D66" s="1072"/>
    </row>
    <row r="67" spans="1:4" ht="15.75">
      <c r="A67" s="1068" t="s">
        <v>858</v>
      </c>
      <c r="B67" s="1180" t="s">
        <v>859</v>
      </c>
      <c r="C67" s="1073"/>
      <c r="D67" s="1072">
        <v>67087695</v>
      </c>
    </row>
    <row r="68" spans="1:4" ht="15.75">
      <c r="A68" s="1068" t="s">
        <v>860</v>
      </c>
      <c r="B68" s="1069" t="s">
        <v>861</v>
      </c>
      <c r="C68" s="1074"/>
      <c r="D68" s="1070">
        <f>SUM(D65:D67)</f>
        <v>71680772</v>
      </c>
    </row>
    <row r="69" spans="1:4" ht="15.75">
      <c r="A69" s="1068" t="s">
        <v>862</v>
      </c>
      <c r="B69" s="1180" t="s">
        <v>863</v>
      </c>
      <c r="C69" s="1073"/>
      <c r="D69" s="1072"/>
    </row>
    <row r="70" spans="1:4" ht="25.5">
      <c r="A70" s="1068" t="s">
        <v>864</v>
      </c>
      <c r="B70" s="1180" t="s">
        <v>865</v>
      </c>
      <c r="C70" s="1073"/>
      <c r="D70" s="1072"/>
    </row>
    <row r="71" spans="1:4" ht="15.75">
      <c r="A71" s="1068" t="s">
        <v>866</v>
      </c>
      <c r="B71" s="1069" t="s">
        <v>867</v>
      </c>
      <c r="C71" s="1074"/>
      <c r="D71" s="1070"/>
    </row>
    <row r="72" spans="1:4" ht="15.75">
      <c r="A72" s="1068" t="s">
        <v>868</v>
      </c>
      <c r="B72" s="1069" t="s">
        <v>869</v>
      </c>
      <c r="C72" s="1073"/>
      <c r="D72" s="1072"/>
    </row>
    <row r="73" spans="1:4" ht="16.5" thickBot="1">
      <c r="A73" s="1075" t="s">
        <v>870</v>
      </c>
      <c r="B73" s="1069" t="s">
        <v>871</v>
      </c>
      <c r="C73" s="1181"/>
      <c r="D73" s="1181">
        <f>SUM(D68+D64+D58+D55+D71+D72)</f>
        <v>1887040068</v>
      </c>
    </row>
    <row r="74" spans="4:5" ht="15.75">
      <c r="D74" s="1077">
        <f>+C92-D73</f>
        <v>0</v>
      </c>
      <c r="E74" s="1182"/>
    </row>
    <row r="75" ht="16.5" thickBot="1"/>
    <row r="76" spans="1:3" ht="15.75">
      <c r="A76" s="1724" t="s">
        <v>872</v>
      </c>
      <c r="B76" s="1726" t="s">
        <v>5</v>
      </c>
      <c r="C76" s="1728" t="s">
        <v>873</v>
      </c>
    </row>
    <row r="77" spans="1:3" ht="15.75">
      <c r="A77" s="1725"/>
      <c r="B77" s="1727"/>
      <c r="C77" s="1729"/>
    </row>
    <row r="78" spans="1:3" ht="16.5" thickBot="1">
      <c r="A78" s="1078" t="s">
        <v>559</v>
      </c>
      <c r="B78" s="1079" t="s">
        <v>14</v>
      </c>
      <c r="C78" s="1080" t="s">
        <v>560</v>
      </c>
    </row>
    <row r="79" spans="1:3" ht="15.75">
      <c r="A79" s="1081" t="s">
        <v>874</v>
      </c>
      <c r="B79" s="1082" t="s">
        <v>763</v>
      </c>
      <c r="C79" s="1083">
        <v>619978596</v>
      </c>
    </row>
    <row r="80" spans="1:3" ht="15.75">
      <c r="A80" s="1081" t="s">
        <v>875</v>
      </c>
      <c r="B80" s="1084" t="s">
        <v>765</v>
      </c>
      <c r="C80" s="1083">
        <v>210845796</v>
      </c>
    </row>
    <row r="81" spans="1:3" s="1076" customFormat="1" ht="12.75">
      <c r="A81" s="1081" t="s">
        <v>876</v>
      </c>
      <c r="B81" s="1084" t="s">
        <v>767</v>
      </c>
      <c r="C81" s="1083">
        <v>81973873</v>
      </c>
    </row>
    <row r="82" spans="1:3" s="1076" customFormat="1" ht="12.75">
      <c r="A82" s="1081" t="s">
        <v>877</v>
      </c>
      <c r="B82" s="1084" t="s">
        <v>769</v>
      </c>
      <c r="C82" s="1085">
        <v>805200874</v>
      </c>
    </row>
    <row r="83" spans="1:3" s="1076" customFormat="1" ht="12.75">
      <c r="A83" s="1081" t="s">
        <v>878</v>
      </c>
      <c r="B83" s="1084" t="s">
        <v>771</v>
      </c>
      <c r="C83" s="1085">
        <v>0</v>
      </c>
    </row>
    <row r="84" spans="1:3" s="1076" customFormat="1" ht="12.75">
      <c r="A84" s="1081" t="s">
        <v>879</v>
      </c>
      <c r="B84" s="1084" t="s">
        <v>773</v>
      </c>
      <c r="C84" s="1085">
        <v>31269924</v>
      </c>
    </row>
    <row r="85" spans="1:3" s="1076" customFormat="1" ht="12.75">
      <c r="A85" s="1081" t="s">
        <v>880</v>
      </c>
      <c r="B85" s="1086" t="s">
        <v>775</v>
      </c>
      <c r="C85" s="1087">
        <f>SUM(C79:C84)</f>
        <v>1749269063</v>
      </c>
    </row>
    <row r="86" spans="1:3" s="1076" customFormat="1" ht="12.75">
      <c r="A86" s="1081" t="s">
        <v>881</v>
      </c>
      <c r="B86" s="1084" t="s">
        <v>777</v>
      </c>
      <c r="C86" s="1088">
        <v>4230000</v>
      </c>
    </row>
    <row r="87" spans="1:3" s="1076" customFormat="1" ht="12.75">
      <c r="A87" s="1081" t="s">
        <v>882</v>
      </c>
      <c r="B87" s="1084" t="s">
        <v>779</v>
      </c>
      <c r="C87" s="1085">
        <v>10912646</v>
      </c>
    </row>
    <row r="88" spans="1:3" s="1076" customFormat="1" ht="12.75">
      <c r="A88" s="1081" t="s">
        <v>883</v>
      </c>
      <c r="B88" s="1084" t="s">
        <v>396</v>
      </c>
      <c r="C88" s="1085">
        <v>1170907</v>
      </c>
    </row>
    <row r="89" spans="1:3" s="1076" customFormat="1" ht="12.75">
      <c r="A89" s="1081" t="s">
        <v>884</v>
      </c>
      <c r="B89" s="1086" t="s">
        <v>398</v>
      </c>
      <c r="C89" s="1087">
        <f>C86+C87+C88</f>
        <v>16313553</v>
      </c>
    </row>
    <row r="90" spans="1:3" s="1076" customFormat="1" ht="12.75">
      <c r="A90" s="1081" t="s">
        <v>885</v>
      </c>
      <c r="B90" s="1086" t="s">
        <v>399</v>
      </c>
      <c r="C90" s="1085"/>
    </row>
    <row r="91" spans="1:3" s="1076" customFormat="1" ht="12.75">
      <c r="A91" s="1081" t="s">
        <v>886</v>
      </c>
      <c r="B91" s="1086" t="s">
        <v>400</v>
      </c>
      <c r="C91" s="1089">
        <v>121457452</v>
      </c>
    </row>
    <row r="92" spans="1:3" s="1076" customFormat="1" ht="13.5" thickBot="1">
      <c r="A92" s="1090" t="s">
        <v>887</v>
      </c>
      <c r="B92" s="1091" t="s">
        <v>401</v>
      </c>
      <c r="C92" s="1092">
        <f>C85+C89+C90+C91</f>
        <v>1887040068</v>
      </c>
    </row>
  </sheetData>
  <sheetProtection selectLockedCells="1" selectUnlockedCells="1"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0" r:id="rId1"/>
  <headerFooter alignWithMargins="0">
    <oddHeader>&amp;R13.a.számú melléklet</oddHeader>
    <oddFooter>&amp;C&amp;"Times New Roman,Normál"&amp;12Oldal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</sheetPr>
  <dimension ref="A1:IV92"/>
  <sheetViews>
    <sheetView view="pageBreakPreview" zoomScale="60" workbookViewId="0" topLeftCell="A28">
      <selection activeCell="C79" sqref="C79:C92"/>
    </sheetView>
  </sheetViews>
  <sheetFormatPr defaultColWidth="60.421875" defaultRowHeight="12.75"/>
  <cols>
    <col min="1" max="1" width="60.421875" style="1003" customWidth="1"/>
    <col min="2" max="2" width="5.57421875" style="1111" customWidth="1"/>
    <col min="3" max="3" width="12.421875" style="1003" customWidth="1"/>
    <col min="4" max="4" width="14.8515625" style="1003" customWidth="1"/>
    <col min="5" max="255" width="10.7109375" style="1003" customWidth="1"/>
    <col min="256" max="16384" width="60.421875" style="1003" customWidth="1"/>
  </cols>
  <sheetData>
    <row r="1" spans="1:256" ht="49.5" customHeight="1">
      <c r="A1" s="1736" t="s">
        <v>917</v>
      </c>
      <c r="B1" s="1736"/>
      <c r="C1" s="1736"/>
      <c r="D1" s="1736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1002"/>
      <c r="R1" s="1002"/>
      <c r="S1" s="1002"/>
      <c r="T1" s="1002"/>
      <c r="U1" s="1002"/>
      <c r="V1" s="1002"/>
      <c r="W1" s="1002"/>
      <c r="X1" s="1002"/>
      <c r="Y1" s="1002"/>
      <c r="Z1" s="1002"/>
      <c r="AA1" s="1002"/>
      <c r="AB1" s="1002"/>
      <c r="AC1" s="1002"/>
      <c r="AD1" s="1002"/>
      <c r="AE1" s="1002"/>
      <c r="AF1" s="1002"/>
      <c r="AG1" s="1002"/>
      <c r="AH1" s="1002"/>
      <c r="AI1" s="1002"/>
      <c r="AJ1" s="1002"/>
      <c r="AK1" s="1002"/>
      <c r="AL1" s="1002"/>
      <c r="AM1" s="1002"/>
      <c r="AN1" s="1002"/>
      <c r="AO1" s="1002"/>
      <c r="AP1" s="1002"/>
      <c r="AQ1" s="1002"/>
      <c r="AR1" s="1002"/>
      <c r="AS1" s="1002"/>
      <c r="AT1" s="1002"/>
      <c r="AU1" s="1002"/>
      <c r="AV1" s="1002"/>
      <c r="AW1" s="1002"/>
      <c r="AX1" s="1002"/>
      <c r="AY1" s="1002"/>
      <c r="AZ1" s="1002"/>
      <c r="BA1" s="1002"/>
      <c r="BB1" s="1002"/>
      <c r="BC1" s="1002"/>
      <c r="BD1" s="1002"/>
      <c r="BE1" s="1002"/>
      <c r="BF1" s="1002"/>
      <c r="BG1" s="1002"/>
      <c r="BH1" s="1002"/>
      <c r="BI1" s="1002"/>
      <c r="BJ1" s="1002"/>
      <c r="BK1" s="1002"/>
      <c r="BL1" s="1002"/>
      <c r="BM1" s="1002"/>
      <c r="BN1" s="1002"/>
      <c r="BO1" s="1002"/>
      <c r="BP1" s="1002"/>
      <c r="BQ1" s="1002"/>
      <c r="BR1" s="1002"/>
      <c r="BS1" s="1002"/>
      <c r="BT1" s="1002"/>
      <c r="BU1" s="1002"/>
      <c r="BV1" s="1002"/>
      <c r="BW1" s="1002"/>
      <c r="BX1" s="1002"/>
      <c r="BY1" s="1002"/>
      <c r="BZ1" s="1002"/>
      <c r="CA1" s="1002"/>
      <c r="CB1" s="1002"/>
      <c r="CC1" s="1002"/>
      <c r="CD1" s="1002"/>
      <c r="CE1" s="1002"/>
      <c r="CF1" s="1002"/>
      <c r="CG1" s="1002"/>
      <c r="CH1" s="1002"/>
      <c r="CI1" s="1002"/>
      <c r="CJ1" s="1002"/>
      <c r="CK1" s="1002"/>
      <c r="CL1" s="1002"/>
      <c r="CM1" s="1002"/>
      <c r="CN1" s="1002"/>
      <c r="CO1" s="1002"/>
      <c r="CP1" s="1002"/>
      <c r="CQ1" s="1002"/>
      <c r="CR1" s="1002"/>
      <c r="CS1" s="1002"/>
      <c r="CT1" s="1002"/>
      <c r="CU1" s="1002"/>
      <c r="CV1" s="1002"/>
      <c r="CW1" s="1002"/>
      <c r="CX1" s="1002"/>
      <c r="CY1" s="1002"/>
      <c r="CZ1" s="1002"/>
      <c r="DA1" s="1002"/>
      <c r="DB1" s="1002"/>
      <c r="DC1" s="1002"/>
      <c r="DD1" s="1002"/>
      <c r="DE1" s="1002"/>
      <c r="DF1" s="1002"/>
      <c r="DG1" s="1002"/>
      <c r="DH1" s="1002"/>
      <c r="DI1" s="1002"/>
      <c r="DJ1" s="1002"/>
      <c r="DK1" s="1002"/>
      <c r="DL1" s="1002"/>
      <c r="DM1" s="1002"/>
      <c r="DN1" s="1002"/>
      <c r="DO1" s="1002"/>
      <c r="DP1" s="1002"/>
      <c r="DQ1" s="1002"/>
      <c r="DR1" s="1002"/>
      <c r="DS1" s="1002"/>
      <c r="DT1" s="1002"/>
      <c r="DU1" s="1002"/>
      <c r="DV1" s="1002"/>
      <c r="DW1" s="1002"/>
      <c r="DX1" s="1002"/>
      <c r="DY1" s="1002"/>
      <c r="DZ1" s="1002"/>
      <c r="EA1" s="1002"/>
      <c r="EB1" s="1002"/>
      <c r="EC1" s="1002"/>
      <c r="ED1" s="1002"/>
      <c r="EE1" s="1002"/>
      <c r="EF1" s="1002"/>
      <c r="EG1" s="1002"/>
      <c r="EH1" s="1002"/>
      <c r="EI1" s="1002"/>
      <c r="EJ1" s="1002"/>
      <c r="EK1" s="1002"/>
      <c r="EL1" s="1002"/>
      <c r="EM1" s="1002"/>
      <c r="EN1" s="1002"/>
      <c r="EO1" s="1002"/>
      <c r="EP1" s="1002"/>
      <c r="EQ1" s="1002"/>
      <c r="ER1" s="1002"/>
      <c r="ES1" s="1002"/>
      <c r="ET1" s="1002"/>
      <c r="EU1" s="1002"/>
      <c r="EV1" s="1002"/>
      <c r="EW1" s="1002"/>
      <c r="EX1" s="1002"/>
      <c r="EY1" s="1002"/>
      <c r="EZ1" s="1002"/>
      <c r="FA1" s="1002"/>
      <c r="FB1" s="1002"/>
      <c r="FC1" s="1002"/>
      <c r="FD1" s="1002"/>
      <c r="FE1" s="1002"/>
      <c r="FF1" s="1002"/>
      <c r="FG1" s="1002"/>
      <c r="FH1" s="1002"/>
      <c r="FI1" s="1002"/>
      <c r="FJ1" s="1002"/>
      <c r="FK1" s="1002"/>
      <c r="FL1" s="1002"/>
      <c r="FM1" s="1002"/>
      <c r="FN1" s="1002"/>
      <c r="FO1" s="1002"/>
      <c r="FP1" s="1002"/>
      <c r="FQ1" s="1002"/>
      <c r="FR1" s="1002"/>
      <c r="FS1" s="1002"/>
      <c r="FT1" s="1002"/>
      <c r="FU1" s="1002"/>
      <c r="FV1" s="1002"/>
      <c r="FW1" s="1002"/>
      <c r="FX1" s="1002"/>
      <c r="FY1" s="1002"/>
      <c r="FZ1" s="1002"/>
      <c r="GA1" s="1002"/>
      <c r="GB1" s="1002"/>
      <c r="GC1" s="1002"/>
      <c r="GD1" s="1002"/>
      <c r="GE1" s="1002"/>
      <c r="GF1" s="1002"/>
      <c r="GG1" s="1002"/>
      <c r="GH1" s="1002"/>
      <c r="GI1" s="1002"/>
      <c r="GJ1" s="1002"/>
      <c r="GK1" s="1002"/>
      <c r="GL1" s="1002"/>
      <c r="GM1" s="1002"/>
      <c r="GN1" s="1002"/>
      <c r="GO1" s="1002"/>
      <c r="GP1" s="1002"/>
      <c r="GQ1" s="1002"/>
      <c r="GR1" s="1002"/>
      <c r="GS1" s="1002"/>
      <c r="GT1" s="1002"/>
      <c r="GU1" s="1002"/>
      <c r="GV1" s="1002"/>
      <c r="GW1" s="1002"/>
      <c r="GX1" s="1002"/>
      <c r="GY1" s="1002"/>
      <c r="GZ1" s="1002"/>
      <c r="HA1" s="1002"/>
      <c r="HB1" s="1002"/>
      <c r="HC1" s="1002"/>
      <c r="HD1" s="1002"/>
      <c r="HE1" s="1002"/>
      <c r="HF1" s="1002"/>
      <c r="HG1" s="1002"/>
      <c r="HH1" s="1002"/>
      <c r="HI1" s="1002"/>
      <c r="HJ1" s="1002"/>
      <c r="HK1" s="1002"/>
      <c r="HL1" s="1002"/>
      <c r="HM1" s="1002"/>
      <c r="HN1" s="1002"/>
      <c r="HO1" s="1002"/>
      <c r="HP1" s="1002"/>
      <c r="HQ1" s="1002"/>
      <c r="HR1" s="1002"/>
      <c r="HS1" s="1002"/>
      <c r="HT1" s="1002"/>
      <c r="HU1" s="1002"/>
      <c r="HV1" s="1002"/>
      <c r="HW1" s="1002"/>
      <c r="HX1" s="1002"/>
      <c r="HY1" s="1002"/>
      <c r="HZ1" s="1002"/>
      <c r="IA1" s="1002"/>
      <c r="IB1" s="1002"/>
      <c r="IC1" s="1002"/>
      <c r="ID1" s="1002"/>
      <c r="IE1" s="1002"/>
      <c r="IF1" s="1002"/>
      <c r="IG1" s="1002"/>
      <c r="IH1" s="1002"/>
      <c r="II1" s="1002"/>
      <c r="IJ1" s="1002"/>
      <c r="IK1" s="1002"/>
      <c r="IL1" s="1002"/>
      <c r="IM1" s="1002"/>
      <c r="IN1" s="1002"/>
      <c r="IO1" s="1002"/>
      <c r="IP1" s="1002"/>
      <c r="IQ1" s="1002"/>
      <c r="IR1" s="1002"/>
      <c r="IS1" s="1002"/>
      <c r="IT1" s="1002"/>
      <c r="IU1" s="1002"/>
      <c r="IV1" s="1002"/>
    </row>
    <row r="2" spans="1:256" ht="16.5" thickBot="1">
      <c r="A2" s="1004" t="s">
        <v>742</v>
      </c>
      <c r="B2" s="1005"/>
      <c r="C2" s="1737" t="s">
        <v>756</v>
      </c>
      <c r="D2" s="1737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2"/>
      <c r="P2" s="1002"/>
      <c r="Q2" s="1002"/>
      <c r="R2" s="1002"/>
      <c r="S2" s="1002"/>
      <c r="T2" s="1002"/>
      <c r="U2" s="1002"/>
      <c r="V2" s="1002"/>
      <c r="W2" s="1002"/>
      <c r="X2" s="1002"/>
      <c r="Y2" s="1002"/>
      <c r="Z2" s="1002"/>
      <c r="AA2" s="1002"/>
      <c r="AB2" s="1002"/>
      <c r="AC2" s="1002"/>
      <c r="AD2" s="1002"/>
      <c r="AE2" s="1002"/>
      <c r="AF2" s="1002"/>
      <c r="AG2" s="1002"/>
      <c r="AH2" s="1002"/>
      <c r="AI2" s="1002"/>
      <c r="AJ2" s="1002"/>
      <c r="AK2" s="1002"/>
      <c r="AL2" s="1002"/>
      <c r="AM2" s="1002"/>
      <c r="AN2" s="1002"/>
      <c r="AO2" s="1002"/>
      <c r="AP2" s="1002"/>
      <c r="AQ2" s="1002"/>
      <c r="AR2" s="1002"/>
      <c r="AS2" s="1002"/>
      <c r="AT2" s="1002"/>
      <c r="AU2" s="1002"/>
      <c r="AV2" s="1002"/>
      <c r="AW2" s="1002"/>
      <c r="AX2" s="1002"/>
      <c r="AY2" s="1002"/>
      <c r="AZ2" s="1002"/>
      <c r="BA2" s="1002"/>
      <c r="BB2" s="1002"/>
      <c r="BC2" s="1002"/>
      <c r="BD2" s="1002"/>
      <c r="BE2" s="1002"/>
      <c r="BF2" s="1002"/>
      <c r="BG2" s="1002"/>
      <c r="BH2" s="1002"/>
      <c r="BI2" s="1002"/>
      <c r="BJ2" s="1002"/>
      <c r="BK2" s="1002"/>
      <c r="BL2" s="1002"/>
      <c r="BM2" s="1002"/>
      <c r="BN2" s="1002"/>
      <c r="BO2" s="1002"/>
      <c r="BP2" s="1002"/>
      <c r="BQ2" s="1002"/>
      <c r="BR2" s="1002"/>
      <c r="BS2" s="1002"/>
      <c r="BT2" s="1002"/>
      <c r="BU2" s="1002"/>
      <c r="BV2" s="1002"/>
      <c r="BW2" s="1002"/>
      <c r="BX2" s="1002"/>
      <c r="BY2" s="1002"/>
      <c r="BZ2" s="1002"/>
      <c r="CA2" s="1002"/>
      <c r="CB2" s="1002"/>
      <c r="CC2" s="1002"/>
      <c r="CD2" s="1002"/>
      <c r="CE2" s="1002"/>
      <c r="CF2" s="1002"/>
      <c r="CG2" s="1002"/>
      <c r="CH2" s="1002"/>
      <c r="CI2" s="1002"/>
      <c r="CJ2" s="1002"/>
      <c r="CK2" s="1002"/>
      <c r="CL2" s="1002"/>
      <c r="CM2" s="1002"/>
      <c r="CN2" s="1002"/>
      <c r="CO2" s="1002"/>
      <c r="CP2" s="1002"/>
      <c r="CQ2" s="1002"/>
      <c r="CR2" s="1002"/>
      <c r="CS2" s="1002"/>
      <c r="CT2" s="1002"/>
      <c r="CU2" s="1002"/>
      <c r="CV2" s="1002"/>
      <c r="CW2" s="1002"/>
      <c r="CX2" s="1002"/>
      <c r="CY2" s="1002"/>
      <c r="CZ2" s="1002"/>
      <c r="DA2" s="1002"/>
      <c r="DB2" s="1002"/>
      <c r="DC2" s="1002"/>
      <c r="DD2" s="1002"/>
      <c r="DE2" s="1002"/>
      <c r="DF2" s="1002"/>
      <c r="DG2" s="1002"/>
      <c r="DH2" s="1002"/>
      <c r="DI2" s="1002"/>
      <c r="DJ2" s="1002"/>
      <c r="DK2" s="1002"/>
      <c r="DL2" s="1002"/>
      <c r="DM2" s="1002"/>
      <c r="DN2" s="1002"/>
      <c r="DO2" s="1002"/>
      <c r="DP2" s="1002"/>
      <c r="DQ2" s="1002"/>
      <c r="DR2" s="1002"/>
      <c r="DS2" s="1002"/>
      <c r="DT2" s="1002"/>
      <c r="DU2" s="1002"/>
      <c r="DV2" s="1002"/>
      <c r="DW2" s="1002"/>
      <c r="DX2" s="1002"/>
      <c r="DY2" s="1002"/>
      <c r="DZ2" s="1002"/>
      <c r="EA2" s="1002"/>
      <c r="EB2" s="1002"/>
      <c r="EC2" s="1002"/>
      <c r="ED2" s="1002"/>
      <c r="EE2" s="1002"/>
      <c r="EF2" s="1002"/>
      <c r="EG2" s="1002"/>
      <c r="EH2" s="1002"/>
      <c r="EI2" s="1002"/>
      <c r="EJ2" s="1002"/>
      <c r="EK2" s="1002"/>
      <c r="EL2" s="1002"/>
      <c r="EM2" s="1002"/>
      <c r="EN2" s="1002"/>
      <c r="EO2" s="1002"/>
      <c r="EP2" s="1002"/>
      <c r="EQ2" s="1002"/>
      <c r="ER2" s="1002"/>
      <c r="ES2" s="1002"/>
      <c r="ET2" s="1002"/>
      <c r="EU2" s="1002"/>
      <c r="EV2" s="1002"/>
      <c r="EW2" s="1002"/>
      <c r="EX2" s="1002"/>
      <c r="EY2" s="1002"/>
      <c r="EZ2" s="1002"/>
      <c r="FA2" s="1002"/>
      <c r="FB2" s="1002"/>
      <c r="FC2" s="1002"/>
      <c r="FD2" s="1002"/>
      <c r="FE2" s="1002"/>
      <c r="FF2" s="1002"/>
      <c r="FG2" s="1002"/>
      <c r="FH2" s="1002"/>
      <c r="FI2" s="1002"/>
      <c r="FJ2" s="1002"/>
      <c r="FK2" s="1002"/>
      <c r="FL2" s="1002"/>
      <c r="FM2" s="1002"/>
      <c r="FN2" s="1002"/>
      <c r="FO2" s="1002"/>
      <c r="FP2" s="1002"/>
      <c r="FQ2" s="1002"/>
      <c r="FR2" s="1002"/>
      <c r="FS2" s="1002"/>
      <c r="FT2" s="1002"/>
      <c r="FU2" s="1002"/>
      <c r="FV2" s="1002"/>
      <c r="FW2" s="1002"/>
      <c r="FX2" s="1002"/>
      <c r="FY2" s="1002"/>
      <c r="FZ2" s="1002"/>
      <c r="GA2" s="1002"/>
      <c r="GB2" s="1002"/>
      <c r="GC2" s="1002"/>
      <c r="GD2" s="1002"/>
      <c r="GE2" s="1002"/>
      <c r="GF2" s="1002"/>
      <c r="GG2" s="1002"/>
      <c r="GH2" s="1002"/>
      <c r="GI2" s="1002"/>
      <c r="GJ2" s="1002"/>
      <c r="GK2" s="1002"/>
      <c r="GL2" s="1002"/>
      <c r="GM2" s="1002"/>
      <c r="GN2" s="1002"/>
      <c r="GO2" s="1002"/>
      <c r="GP2" s="1002"/>
      <c r="GQ2" s="1002"/>
      <c r="GR2" s="1002"/>
      <c r="GS2" s="1002"/>
      <c r="GT2" s="1002"/>
      <c r="GU2" s="1002"/>
      <c r="GV2" s="1002"/>
      <c r="GW2" s="1002"/>
      <c r="GX2" s="1002"/>
      <c r="GY2" s="1002"/>
      <c r="GZ2" s="1002"/>
      <c r="HA2" s="1002"/>
      <c r="HB2" s="1002"/>
      <c r="HC2" s="1002"/>
      <c r="HD2" s="1002"/>
      <c r="HE2" s="1002"/>
      <c r="HF2" s="1002"/>
      <c r="HG2" s="1002"/>
      <c r="HH2" s="1002"/>
      <c r="HI2" s="1002"/>
      <c r="HJ2" s="1002"/>
      <c r="HK2" s="1002"/>
      <c r="HL2" s="1002"/>
      <c r="HM2" s="1002"/>
      <c r="HN2" s="1002"/>
      <c r="HO2" s="1002"/>
      <c r="HP2" s="1002"/>
      <c r="HQ2" s="1002"/>
      <c r="HR2" s="1002"/>
      <c r="HS2" s="1002"/>
      <c r="HT2" s="1002"/>
      <c r="HU2" s="1002"/>
      <c r="HV2" s="1002"/>
      <c r="HW2" s="1002"/>
      <c r="HX2" s="1002"/>
      <c r="HY2" s="1002"/>
      <c r="HZ2" s="1002"/>
      <c r="IA2" s="1002"/>
      <c r="IB2" s="1002"/>
      <c r="IC2" s="1002"/>
      <c r="ID2" s="1002"/>
      <c r="IE2" s="1002"/>
      <c r="IF2" s="1002"/>
      <c r="IG2" s="1002"/>
      <c r="IH2" s="1002"/>
      <c r="II2" s="1002"/>
      <c r="IJ2" s="1002"/>
      <c r="IK2" s="1002"/>
      <c r="IL2" s="1002"/>
      <c r="IM2" s="1002"/>
      <c r="IN2" s="1002"/>
      <c r="IO2" s="1002"/>
      <c r="IP2" s="1002"/>
      <c r="IQ2" s="1002"/>
      <c r="IR2" s="1002"/>
      <c r="IS2" s="1002"/>
      <c r="IT2" s="1002"/>
      <c r="IU2" s="1002"/>
      <c r="IV2" s="1002"/>
    </row>
    <row r="3" spans="1:256" ht="15.75" customHeight="1" thickBot="1">
      <c r="A3" s="1738" t="s">
        <v>757</v>
      </c>
      <c r="B3" s="1739" t="s">
        <v>5</v>
      </c>
      <c r="C3" s="1740" t="s">
        <v>758</v>
      </c>
      <c r="D3" s="1740" t="s">
        <v>759</v>
      </c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2"/>
      <c r="R3" s="1002"/>
      <c r="S3" s="1002"/>
      <c r="T3" s="1002"/>
      <c r="U3" s="1002"/>
      <c r="V3" s="1002"/>
      <c r="W3" s="1002"/>
      <c r="X3" s="1002"/>
      <c r="Y3" s="1002"/>
      <c r="Z3" s="1002"/>
      <c r="AA3" s="1002"/>
      <c r="AB3" s="1002"/>
      <c r="AC3" s="1002"/>
      <c r="AD3" s="1002"/>
      <c r="AE3" s="1002"/>
      <c r="AF3" s="1002"/>
      <c r="AG3" s="1002"/>
      <c r="AH3" s="1002"/>
      <c r="AI3" s="1002"/>
      <c r="AJ3" s="1002"/>
      <c r="AK3" s="1002"/>
      <c r="AL3" s="1002"/>
      <c r="AM3" s="1002"/>
      <c r="AN3" s="1002"/>
      <c r="AO3" s="1002"/>
      <c r="AP3" s="1002"/>
      <c r="AQ3" s="1002"/>
      <c r="AR3" s="1002"/>
      <c r="AS3" s="1002"/>
      <c r="AT3" s="1002"/>
      <c r="AU3" s="1002"/>
      <c r="AV3" s="1002"/>
      <c r="AW3" s="1002"/>
      <c r="AX3" s="1002"/>
      <c r="AY3" s="1002"/>
      <c r="AZ3" s="1002"/>
      <c r="BA3" s="1002"/>
      <c r="BB3" s="1002"/>
      <c r="BC3" s="1002"/>
      <c r="BD3" s="1002"/>
      <c r="BE3" s="1002"/>
      <c r="BF3" s="1002"/>
      <c r="BG3" s="1002"/>
      <c r="BH3" s="1002"/>
      <c r="BI3" s="1002"/>
      <c r="BJ3" s="1002"/>
      <c r="BK3" s="1002"/>
      <c r="BL3" s="1002"/>
      <c r="BM3" s="1002"/>
      <c r="BN3" s="1002"/>
      <c r="BO3" s="1002"/>
      <c r="BP3" s="1002"/>
      <c r="BQ3" s="1002"/>
      <c r="BR3" s="1002"/>
      <c r="BS3" s="1002"/>
      <c r="BT3" s="1002"/>
      <c r="BU3" s="1002"/>
      <c r="BV3" s="1002"/>
      <c r="BW3" s="1002"/>
      <c r="BX3" s="1002"/>
      <c r="BY3" s="1002"/>
      <c r="BZ3" s="1002"/>
      <c r="CA3" s="1002"/>
      <c r="CB3" s="1002"/>
      <c r="CC3" s="1002"/>
      <c r="CD3" s="1002"/>
      <c r="CE3" s="1002"/>
      <c r="CF3" s="1002"/>
      <c r="CG3" s="1002"/>
      <c r="CH3" s="1002"/>
      <c r="CI3" s="1002"/>
      <c r="CJ3" s="1002"/>
      <c r="CK3" s="1002"/>
      <c r="CL3" s="1002"/>
      <c r="CM3" s="1002"/>
      <c r="CN3" s="1002"/>
      <c r="CO3" s="1002"/>
      <c r="CP3" s="1002"/>
      <c r="CQ3" s="1002"/>
      <c r="CR3" s="1002"/>
      <c r="CS3" s="1002"/>
      <c r="CT3" s="1002"/>
      <c r="CU3" s="1002"/>
      <c r="CV3" s="1002"/>
      <c r="CW3" s="1002"/>
      <c r="CX3" s="1002"/>
      <c r="CY3" s="1002"/>
      <c r="CZ3" s="1002"/>
      <c r="DA3" s="1002"/>
      <c r="DB3" s="1002"/>
      <c r="DC3" s="1002"/>
      <c r="DD3" s="1002"/>
      <c r="DE3" s="1002"/>
      <c r="DF3" s="1002"/>
      <c r="DG3" s="1002"/>
      <c r="DH3" s="1002"/>
      <c r="DI3" s="1002"/>
      <c r="DJ3" s="1002"/>
      <c r="DK3" s="1002"/>
      <c r="DL3" s="1002"/>
      <c r="DM3" s="1002"/>
      <c r="DN3" s="1002"/>
      <c r="DO3" s="1002"/>
      <c r="DP3" s="1002"/>
      <c r="DQ3" s="1002"/>
      <c r="DR3" s="1002"/>
      <c r="DS3" s="1002"/>
      <c r="DT3" s="1002"/>
      <c r="DU3" s="1002"/>
      <c r="DV3" s="1002"/>
      <c r="DW3" s="1002"/>
      <c r="DX3" s="1002"/>
      <c r="DY3" s="1002"/>
      <c r="DZ3" s="1002"/>
      <c r="EA3" s="1002"/>
      <c r="EB3" s="1002"/>
      <c r="EC3" s="1002"/>
      <c r="ED3" s="1002"/>
      <c r="EE3" s="1002"/>
      <c r="EF3" s="1002"/>
      <c r="EG3" s="1002"/>
      <c r="EH3" s="1002"/>
      <c r="EI3" s="1002"/>
      <c r="EJ3" s="1002"/>
      <c r="EK3" s="1002"/>
      <c r="EL3" s="1002"/>
      <c r="EM3" s="1002"/>
      <c r="EN3" s="1002"/>
      <c r="EO3" s="1002"/>
      <c r="EP3" s="1002"/>
      <c r="EQ3" s="1002"/>
      <c r="ER3" s="1002"/>
      <c r="ES3" s="1002"/>
      <c r="ET3" s="1002"/>
      <c r="EU3" s="1002"/>
      <c r="EV3" s="1002"/>
      <c r="EW3" s="1002"/>
      <c r="EX3" s="1002"/>
      <c r="EY3" s="1002"/>
      <c r="EZ3" s="1002"/>
      <c r="FA3" s="1002"/>
      <c r="FB3" s="1002"/>
      <c r="FC3" s="1002"/>
      <c r="FD3" s="1002"/>
      <c r="FE3" s="1002"/>
      <c r="FF3" s="1002"/>
      <c r="FG3" s="1002"/>
      <c r="FH3" s="1002"/>
      <c r="FI3" s="1002"/>
      <c r="FJ3" s="1002"/>
      <c r="FK3" s="1002"/>
      <c r="FL3" s="1002"/>
      <c r="FM3" s="1002"/>
      <c r="FN3" s="1002"/>
      <c r="FO3" s="1002"/>
      <c r="FP3" s="1002"/>
      <c r="FQ3" s="1002"/>
      <c r="FR3" s="1002"/>
      <c r="FS3" s="1002"/>
      <c r="FT3" s="1002"/>
      <c r="FU3" s="1002"/>
      <c r="FV3" s="1002"/>
      <c r="FW3" s="1002"/>
      <c r="FX3" s="1002"/>
      <c r="FY3" s="1002"/>
      <c r="FZ3" s="1002"/>
      <c r="GA3" s="1002"/>
      <c r="GB3" s="1002"/>
      <c r="GC3" s="1002"/>
      <c r="GD3" s="1002"/>
      <c r="GE3" s="1002"/>
      <c r="GF3" s="1002"/>
      <c r="GG3" s="1002"/>
      <c r="GH3" s="1002"/>
      <c r="GI3" s="1002"/>
      <c r="GJ3" s="1002"/>
      <c r="GK3" s="1002"/>
      <c r="GL3" s="1002"/>
      <c r="GM3" s="1002"/>
      <c r="GN3" s="1002"/>
      <c r="GO3" s="1002"/>
      <c r="GP3" s="1002"/>
      <c r="GQ3" s="1002"/>
      <c r="GR3" s="1002"/>
      <c r="GS3" s="1002"/>
      <c r="GT3" s="1002"/>
      <c r="GU3" s="1002"/>
      <c r="GV3" s="1002"/>
      <c r="GW3" s="1002"/>
      <c r="GX3" s="1002"/>
      <c r="GY3" s="1002"/>
      <c r="GZ3" s="1002"/>
      <c r="HA3" s="1002"/>
      <c r="HB3" s="1002"/>
      <c r="HC3" s="1002"/>
      <c r="HD3" s="1002"/>
      <c r="HE3" s="1002"/>
      <c r="HF3" s="1002"/>
      <c r="HG3" s="1002"/>
      <c r="HH3" s="1002"/>
      <c r="HI3" s="1002"/>
      <c r="HJ3" s="1002"/>
      <c r="HK3" s="1002"/>
      <c r="HL3" s="1002"/>
      <c r="HM3" s="1002"/>
      <c r="HN3" s="1002"/>
      <c r="HO3" s="1002"/>
      <c r="HP3" s="1002"/>
      <c r="HQ3" s="1002"/>
      <c r="HR3" s="1002"/>
      <c r="HS3" s="1002"/>
      <c r="HT3" s="1002"/>
      <c r="HU3" s="1002"/>
      <c r="HV3" s="1002"/>
      <c r="HW3" s="1002"/>
      <c r="HX3" s="1002"/>
      <c r="HY3" s="1002"/>
      <c r="HZ3" s="1002"/>
      <c r="IA3" s="1002"/>
      <c r="IB3" s="1002"/>
      <c r="IC3" s="1002"/>
      <c r="ID3" s="1002"/>
      <c r="IE3" s="1002"/>
      <c r="IF3" s="1002"/>
      <c r="IG3" s="1002"/>
      <c r="IH3" s="1002"/>
      <c r="II3" s="1002"/>
      <c r="IJ3" s="1002"/>
      <c r="IK3" s="1002"/>
      <c r="IL3" s="1002"/>
      <c r="IM3" s="1002"/>
      <c r="IN3" s="1002"/>
      <c r="IO3" s="1002"/>
      <c r="IP3" s="1002"/>
      <c r="IQ3" s="1002"/>
      <c r="IR3" s="1002"/>
      <c r="IS3" s="1002"/>
      <c r="IT3" s="1002"/>
      <c r="IU3" s="1002"/>
      <c r="IV3" s="1002"/>
    </row>
    <row r="4" spans="1:256" ht="11.25" customHeight="1" thickBot="1">
      <c r="A4" s="1738"/>
      <c r="B4" s="1739"/>
      <c r="C4" s="1740"/>
      <c r="D4" s="1740"/>
      <c r="E4" s="1002"/>
      <c r="F4" s="1002"/>
      <c r="G4" s="1002"/>
      <c r="H4" s="1002"/>
      <c r="I4" s="1002"/>
      <c r="J4" s="1002"/>
      <c r="K4" s="1002"/>
      <c r="L4" s="1002"/>
      <c r="M4" s="1002"/>
      <c r="N4" s="1002"/>
      <c r="O4" s="1002"/>
      <c r="P4" s="1002"/>
      <c r="Q4" s="1002"/>
      <c r="R4" s="1002"/>
      <c r="S4" s="1002"/>
      <c r="T4" s="1002"/>
      <c r="U4" s="1002"/>
      <c r="V4" s="1002"/>
      <c r="W4" s="1002"/>
      <c r="X4" s="1002"/>
      <c r="Y4" s="1002"/>
      <c r="Z4" s="1002"/>
      <c r="AA4" s="1002"/>
      <c r="AB4" s="1002"/>
      <c r="AC4" s="1002"/>
      <c r="AD4" s="1002"/>
      <c r="AE4" s="1002"/>
      <c r="AF4" s="1002"/>
      <c r="AG4" s="1002"/>
      <c r="AH4" s="1002"/>
      <c r="AI4" s="1002"/>
      <c r="AJ4" s="1002"/>
      <c r="AK4" s="1002"/>
      <c r="AL4" s="1002"/>
      <c r="AM4" s="1002"/>
      <c r="AN4" s="1002"/>
      <c r="AO4" s="1002"/>
      <c r="AP4" s="1002"/>
      <c r="AQ4" s="1002"/>
      <c r="AR4" s="1002"/>
      <c r="AS4" s="1002"/>
      <c r="AT4" s="1002"/>
      <c r="AU4" s="1002"/>
      <c r="AV4" s="1002"/>
      <c r="AW4" s="1002"/>
      <c r="AX4" s="1002"/>
      <c r="AY4" s="1002"/>
      <c r="AZ4" s="1002"/>
      <c r="BA4" s="1002"/>
      <c r="BB4" s="1002"/>
      <c r="BC4" s="1002"/>
      <c r="BD4" s="1002"/>
      <c r="BE4" s="1002"/>
      <c r="BF4" s="1002"/>
      <c r="BG4" s="1002"/>
      <c r="BH4" s="1002"/>
      <c r="BI4" s="1002"/>
      <c r="BJ4" s="1002"/>
      <c r="BK4" s="1002"/>
      <c r="BL4" s="1002"/>
      <c r="BM4" s="1002"/>
      <c r="BN4" s="1002"/>
      <c r="BO4" s="1002"/>
      <c r="BP4" s="1002"/>
      <c r="BQ4" s="1002"/>
      <c r="BR4" s="1002"/>
      <c r="BS4" s="1002"/>
      <c r="BT4" s="1002"/>
      <c r="BU4" s="1002"/>
      <c r="BV4" s="1002"/>
      <c r="BW4" s="1002"/>
      <c r="BX4" s="1002"/>
      <c r="BY4" s="1002"/>
      <c r="BZ4" s="1002"/>
      <c r="CA4" s="1002"/>
      <c r="CB4" s="1002"/>
      <c r="CC4" s="1002"/>
      <c r="CD4" s="1002"/>
      <c r="CE4" s="1002"/>
      <c r="CF4" s="1002"/>
      <c r="CG4" s="1002"/>
      <c r="CH4" s="1002"/>
      <c r="CI4" s="1002"/>
      <c r="CJ4" s="1002"/>
      <c r="CK4" s="1002"/>
      <c r="CL4" s="1002"/>
      <c r="CM4" s="1002"/>
      <c r="CN4" s="1002"/>
      <c r="CO4" s="1002"/>
      <c r="CP4" s="1002"/>
      <c r="CQ4" s="1002"/>
      <c r="CR4" s="1002"/>
      <c r="CS4" s="1002"/>
      <c r="CT4" s="1002"/>
      <c r="CU4" s="1002"/>
      <c r="CV4" s="1002"/>
      <c r="CW4" s="1002"/>
      <c r="CX4" s="1002"/>
      <c r="CY4" s="1002"/>
      <c r="CZ4" s="1002"/>
      <c r="DA4" s="1002"/>
      <c r="DB4" s="1002"/>
      <c r="DC4" s="1002"/>
      <c r="DD4" s="1002"/>
      <c r="DE4" s="1002"/>
      <c r="DF4" s="1002"/>
      <c r="DG4" s="1002"/>
      <c r="DH4" s="1002"/>
      <c r="DI4" s="1002"/>
      <c r="DJ4" s="1002"/>
      <c r="DK4" s="1002"/>
      <c r="DL4" s="1002"/>
      <c r="DM4" s="1002"/>
      <c r="DN4" s="1002"/>
      <c r="DO4" s="1002"/>
      <c r="DP4" s="1002"/>
      <c r="DQ4" s="1002"/>
      <c r="DR4" s="1002"/>
      <c r="DS4" s="1002"/>
      <c r="DT4" s="1002"/>
      <c r="DU4" s="1002"/>
      <c r="DV4" s="1002"/>
      <c r="DW4" s="1002"/>
      <c r="DX4" s="1002"/>
      <c r="DY4" s="1002"/>
      <c r="DZ4" s="1002"/>
      <c r="EA4" s="1002"/>
      <c r="EB4" s="1002"/>
      <c r="EC4" s="1002"/>
      <c r="ED4" s="1002"/>
      <c r="EE4" s="1002"/>
      <c r="EF4" s="1002"/>
      <c r="EG4" s="1002"/>
      <c r="EH4" s="1002"/>
      <c r="EI4" s="1002"/>
      <c r="EJ4" s="1002"/>
      <c r="EK4" s="1002"/>
      <c r="EL4" s="1002"/>
      <c r="EM4" s="1002"/>
      <c r="EN4" s="1002"/>
      <c r="EO4" s="1002"/>
      <c r="EP4" s="1002"/>
      <c r="EQ4" s="1002"/>
      <c r="ER4" s="1002"/>
      <c r="ES4" s="1002"/>
      <c r="ET4" s="1002"/>
      <c r="EU4" s="1002"/>
      <c r="EV4" s="1002"/>
      <c r="EW4" s="1002"/>
      <c r="EX4" s="1002"/>
      <c r="EY4" s="1002"/>
      <c r="EZ4" s="1002"/>
      <c r="FA4" s="1002"/>
      <c r="FB4" s="1002"/>
      <c r="FC4" s="1002"/>
      <c r="FD4" s="1002"/>
      <c r="FE4" s="1002"/>
      <c r="FF4" s="1002"/>
      <c r="FG4" s="1002"/>
      <c r="FH4" s="1002"/>
      <c r="FI4" s="1002"/>
      <c r="FJ4" s="1002"/>
      <c r="FK4" s="1002"/>
      <c r="FL4" s="1002"/>
      <c r="FM4" s="1002"/>
      <c r="FN4" s="1002"/>
      <c r="FO4" s="1002"/>
      <c r="FP4" s="1002"/>
      <c r="FQ4" s="1002"/>
      <c r="FR4" s="1002"/>
      <c r="FS4" s="1002"/>
      <c r="FT4" s="1002"/>
      <c r="FU4" s="1002"/>
      <c r="FV4" s="1002"/>
      <c r="FW4" s="1002"/>
      <c r="FX4" s="1002"/>
      <c r="FY4" s="1002"/>
      <c r="FZ4" s="1002"/>
      <c r="GA4" s="1002"/>
      <c r="GB4" s="1002"/>
      <c r="GC4" s="1002"/>
      <c r="GD4" s="1002"/>
      <c r="GE4" s="1002"/>
      <c r="GF4" s="1002"/>
      <c r="GG4" s="1002"/>
      <c r="GH4" s="1002"/>
      <c r="GI4" s="1002"/>
      <c r="GJ4" s="1002"/>
      <c r="GK4" s="1002"/>
      <c r="GL4" s="1002"/>
      <c r="GM4" s="1002"/>
      <c r="GN4" s="1002"/>
      <c r="GO4" s="1002"/>
      <c r="GP4" s="1002"/>
      <c r="GQ4" s="1002"/>
      <c r="GR4" s="1002"/>
      <c r="GS4" s="1002"/>
      <c r="GT4" s="1002"/>
      <c r="GU4" s="1002"/>
      <c r="GV4" s="1002"/>
      <c r="GW4" s="1002"/>
      <c r="GX4" s="1002"/>
      <c r="GY4" s="1002"/>
      <c r="GZ4" s="1002"/>
      <c r="HA4" s="1002"/>
      <c r="HB4" s="1002"/>
      <c r="HC4" s="1002"/>
      <c r="HD4" s="1002"/>
      <c r="HE4" s="1002"/>
      <c r="HF4" s="1002"/>
      <c r="HG4" s="1002"/>
      <c r="HH4" s="1002"/>
      <c r="HI4" s="1002"/>
      <c r="HJ4" s="1002"/>
      <c r="HK4" s="1002"/>
      <c r="HL4" s="1002"/>
      <c r="HM4" s="1002"/>
      <c r="HN4" s="1002"/>
      <c r="HO4" s="1002"/>
      <c r="HP4" s="1002"/>
      <c r="HQ4" s="1002"/>
      <c r="HR4" s="1002"/>
      <c r="HS4" s="1002"/>
      <c r="HT4" s="1002"/>
      <c r="HU4" s="1002"/>
      <c r="HV4" s="1002"/>
      <c r="HW4" s="1002"/>
      <c r="HX4" s="1002"/>
      <c r="HY4" s="1002"/>
      <c r="HZ4" s="1002"/>
      <c r="IA4" s="1002"/>
      <c r="IB4" s="1002"/>
      <c r="IC4" s="1002"/>
      <c r="ID4" s="1002"/>
      <c r="IE4" s="1002"/>
      <c r="IF4" s="1002"/>
      <c r="IG4" s="1002"/>
      <c r="IH4" s="1002"/>
      <c r="II4" s="1002"/>
      <c r="IJ4" s="1002"/>
      <c r="IK4" s="1002"/>
      <c r="IL4" s="1002"/>
      <c r="IM4" s="1002"/>
      <c r="IN4" s="1002"/>
      <c r="IO4" s="1002"/>
      <c r="IP4" s="1002"/>
      <c r="IQ4" s="1002"/>
      <c r="IR4" s="1002"/>
      <c r="IS4" s="1002"/>
      <c r="IT4" s="1002"/>
      <c r="IU4" s="1002"/>
      <c r="IV4" s="1002"/>
    </row>
    <row r="5" spans="1:256" ht="12.75" customHeight="1">
      <c r="A5" s="1738"/>
      <c r="B5" s="1739"/>
      <c r="C5" s="1741" t="s">
        <v>760</v>
      </c>
      <c r="D5" s="1741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1002"/>
      <c r="U5" s="1002"/>
      <c r="V5" s="1002"/>
      <c r="W5" s="1002"/>
      <c r="X5" s="1002"/>
      <c r="Y5" s="1002"/>
      <c r="Z5" s="1002"/>
      <c r="AA5" s="1002"/>
      <c r="AB5" s="1002"/>
      <c r="AC5" s="1002"/>
      <c r="AD5" s="1002"/>
      <c r="AE5" s="1002"/>
      <c r="AF5" s="1002"/>
      <c r="AG5" s="1002"/>
      <c r="AH5" s="1002"/>
      <c r="AI5" s="1002"/>
      <c r="AJ5" s="1002"/>
      <c r="AK5" s="1002"/>
      <c r="AL5" s="1002"/>
      <c r="AM5" s="1002"/>
      <c r="AN5" s="1002"/>
      <c r="AO5" s="1002"/>
      <c r="AP5" s="1002"/>
      <c r="AQ5" s="1002"/>
      <c r="AR5" s="1002"/>
      <c r="AS5" s="1002"/>
      <c r="AT5" s="1002"/>
      <c r="AU5" s="1002"/>
      <c r="AV5" s="1002"/>
      <c r="AW5" s="1002"/>
      <c r="AX5" s="1002"/>
      <c r="AY5" s="1002"/>
      <c r="AZ5" s="1002"/>
      <c r="BA5" s="1002"/>
      <c r="BB5" s="1002"/>
      <c r="BC5" s="1002"/>
      <c r="BD5" s="1002"/>
      <c r="BE5" s="1002"/>
      <c r="BF5" s="1002"/>
      <c r="BG5" s="1002"/>
      <c r="BH5" s="1002"/>
      <c r="BI5" s="1002"/>
      <c r="BJ5" s="1002"/>
      <c r="BK5" s="1002"/>
      <c r="BL5" s="1002"/>
      <c r="BM5" s="1002"/>
      <c r="BN5" s="1002"/>
      <c r="BO5" s="1002"/>
      <c r="BP5" s="1002"/>
      <c r="BQ5" s="1002"/>
      <c r="BR5" s="1002"/>
      <c r="BS5" s="1002"/>
      <c r="BT5" s="1002"/>
      <c r="BU5" s="1002"/>
      <c r="BV5" s="1002"/>
      <c r="BW5" s="1002"/>
      <c r="BX5" s="1002"/>
      <c r="BY5" s="1002"/>
      <c r="BZ5" s="1002"/>
      <c r="CA5" s="1002"/>
      <c r="CB5" s="1002"/>
      <c r="CC5" s="1002"/>
      <c r="CD5" s="1002"/>
      <c r="CE5" s="1002"/>
      <c r="CF5" s="1002"/>
      <c r="CG5" s="1002"/>
      <c r="CH5" s="1002"/>
      <c r="CI5" s="1002"/>
      <c r="CJ5" s="1002"/>
      <c r="CK5" s="1002"/>
      <c r="CL5" s="1002"/>
      <c r="CM5" s="1002"/>
      <c r="CN5" s="1002"/>
      <c r="CO5" s="1002"/>
      <c r="CP5" s="1002"/>
      <c r="CQ5" s="1002"/>
      <c r="CR5" s="1002"/>
      <c r="CS5" s="1002"/>
      <c r="CT5" s="1002"/>
      <c r="CU5" s="1002"/>
      <c r="CV5" s="1002"/>
      <c r="CW5" s="1002"/>
      <c r="CX5" s="1002"/>
      <c r="CY5" s="1002"/>
      <c r="CZ5" s="1002"/>
      <c r="DA5" s="1002"/>
      <c r="DB5" s="1002"/>
      <c r="DC5" s="1002"/>
      <c r="DD5" s="1002"/>
      <c r="DE5" s="1002"/>
      <c r="DF5" s="1002"/>
      <c r="DG5" s="1002"/>
      <c r="DH5" s="1002"/>
      <c r="DI5" s="1002"/>
      <c r="DJ5" s="1002"/>
      <c r="DK5" s="1002"/>
      <c r="DL5" s="1002"/>
      <c r="DM5" s="1002"/>
      <c r="DN5" s="1002"/>
      <c r="DO5" s="1002"/>
      <c r="DP5" s="1002"/>
      <c r="DQ5" s="1002"/>
      <c r="DR5" s="1002"/>
      <c r="DS5" s="1002"/>
      <c r="DT5" s="1002"/>
      <c r="DU5" s="1002"/>
      <c r="DV5" s="1002"/>
      <c r="DW5" s="1002"/>
      <c r="DX5" s="1002"/>
      <c r="DY5" s="1002"/>
      <c r="DZ5" s="1002"/>
      <c r="EA5" s="1002"/>
      <c r="EB5" s="1002"/>
      <c r="EC5" s="1002"/>
      <c r="ED5" s="1002"/>
      <c r="EE5" s="1002"/>
      <c r="EF5" s="1002"/>
      <c r="EG5" s="1002"/>
      <c r="EH5" s="1002"/>
      <c r="EI5" s="1002"/>
      <c r="EJ5" s="1002"/>
      <c r="EK5" s="1002"/>
      <c r="EL5" s="1002"/>
      <c r="EM5" s="1002"/>
      <c r="EN5" s="1002"/>
      <c r="EO5" s="1002"/>
      <c r="EP5" s="1002"/>
      <c r="EQ5" s="1002"/>
      <c r="ER5" s="1002"/>
      <c r="ES5" s="1002"/>
      <c r="ET5" s="1002"/>
      <c r="EU5" s="1002"/>
      <c r="EV5" s="1002"/>
      <c r="EW5" s="1002"/>
      <c r="EX5" s="1002"/>
      <c r="EY5" s="1002"/>
      <c r="EZ5" s="1002"/>
      <c r="FA5" s="1002"/>
      <c r="FB5" s="1002"/>
      <c r="FC5" s="1002"/>
      <c r="FD5" s="1002"/>
      <c r="FE5" s="1002"/>
      <c r="FF5" s="1002"/>
      <c r="FG5" s="1002"/>
      <c r="FH5" s="1002"/>
      <c r="FI5" s="1002"/>
      <c r="FJ5" s="1002"/>
      <c r="FK5" s="1002"/>
      <c r="FL5" s="1002"/>
      <c r="FM5" s="1002"/>
      <c r="FN5" s="1002"/>
      <c r="FO5" s="1002"/>
      <c r="FP5" s="1002"/>
      <c r="FQ5" s="1002"/>
      <c r="FR5" s="1002"/>
      <c r="FS5" s="1002"/>
      <c r="FT5" s="1002"/>
      <c r="FU5" s="1002"/>
      <c r="FV5" s="1002"/>
      <c r="FW5" s="1002"/>
      <c r="FX5" s="1002"/>
      <c r="FY5" s="1002"/>
      <c r="FZ5" s="1002"/>
      <c r="GA5" s="1002"/>
      <c r="GB5" s="1002"/>
      <c r="GC5" s="1002"/>
      <c r="GD5" s="1002"/>
      <c r="GE5" s="1002"/>
      <c r="GF5" s="1002"/>
      <c r="GG5" s="1002"/>
      <c r="GH5" s="1002"/>
      <c r="GI5" s="1002"/>
      <c r="GJ5" s="1002"/>
      <c r="GK5" s="1002"/>
      <c r="GL5" s="1002"/>
      <c r="GM5" s="1002"/>
      <c r="GN5" s="1002"/>
      <c r="GO5" s="1002"/>
      <c r="GP5" s="1002"/>
      <c r="GQ5" s="1002"/>
      <c r="GR5" s="1002"/>
      <c r="GS5" s="1002"/>
      <c r="GT5" s="1002"/>
      <c r="GU5" s="1002"/>
      <c r="GV5" s="1002"/>
      <c r="GW5" s="1002"/>
      <c r="GX5" s="1002"/>
      <c r="GY5" s="1002"/>
      <c r="GZ5" s="1002"/>
      <c r="HA5" s="1002"/>
      <c r="HB5" s="1002"/>
      <c r="HC5" s="1002"/>
      <c r="HD5" s="1002"/>
      <c r="HE5" s="1002"/>
      <c r="HF5" s="1002"/>
      <c r="HG5" s="1002"/>
      <c r="HH5" s="1002"/>
      <c r="HI5" s="1002"/>
      <c r="HJ5" s="1002"/>
      <c r="HK5" s="1002"/>
      <c r="HL5" s="1002"/>
      <c r="HM5" s="1002"/>
      <c r="HN5" s="1002"/>
      <c r="HO5" s="1002"/>
      <c r="HP5" s="1002"/>
      <c r="HQ5" s="1002"/>
      <c r="HR5" s="1002"/>
      <c r="HS5" s="1002"/>
      <c r="HT5" s="1002"/>
      <c r="HU5" s="1002"/>
      <c r="HV5" s="1002"/>
      <c r="HW5" s="1002"/>
      <c r="HX5" s="1002"/>
      <c r="HY5" s="1002"/>
      <c r="HZ5" s="1002"/>
      <c r="IA5" s="1002"/>
      <c r="IB5" s="1002"/>
      <c r="IC5" s="1002"/>
      <c r="ID5" s="1002"/>
      <c r="IE5" s="1002"/>
      <c r="IF5" s="1002"/>
      <c r="IG5" s="1002"/>
      <c r="IH5" s="1002"/>
      <c r="II5" s="1002"/>
      <c r="IJ5" s="1002"/>
      <c r="IK5" s="1002"/>
      <c r="IL5" s="1002"/>
      <c r="IM5" s="1002"/>
      <c r="IN5" s="1002"/>
      <c r="IO5" s="1002"/>
      <c r="IP5" s="1002"/>
      <c r="IQ5" s="1002"/>
      <c r="IR5" s="1002"/>
      <c r="IS5" s="1002"/>
      <c r="IT5" s="1002"/>
      <c r="IU5" s="1002"/>
      <c r="IV5" s="1002"/>
    </row>
    <row r="6" spans="1:4" s="1062" customFormat="1" ht="16.5" thickBot="1">
      <c r="A6" s="1093" t="s">
        <v>761</v>
      </c>
      <c r="B6" s="1094" t="s">
        <v>14</v>
      </c>
      <c r="C6" s="1094" t="s">
        <v>560</v>
      </c>
      <c r="D6" s="1094" t="s">
        <v>561</v>
      </c>
    </row>
    <row r="7" spans="1:4" s="1065" customFormat="1" ht="15.75">
      <c r="A7" s="1095" t="s">
        <v>762</v>
      </c>
      <c r="B7" s="1096" t="s">
        <v>763</v>
      </c>
      <c r="C7" s="1097">
        <f>SUM(C8:C11)</f>
        <v>5512817</v>
      </c>
      <c r="D7" s="1097">
        <f>SUM(D8:D11)</f>
        <v>0</v>
      </c>
    </row>
    <row r="8" spans="1:4" s="1065" customFormat="1" ht="15.75">
      <c r="A8" s="1098" t="s">
        <v>764</v>
      </c>
      <c r="B8" s="1099" t="s">
        <v>765</v>
      </c>
      <c r="C8" s="1100"/>
      <c r="D8" s="1100"/>
    </row>
    <row r="9" spans="1:4" s="1065" customFormat="1" ht="47.25">
      <c r="A9" s="1098" t="s">
        <v>766</v>
      </c>
      <c r="B9" s="1099" t="s">
        <v>767</v>
      </c>
      <c r="C9" s="1100"/>
      <c r="D9" s="1100"/>
    </row>
    <row r="10" spans="1:4" s="1065" customFormat="1" ht="15.75">
      <c r="A10" s="1098" t="s">
        <v>768</v>
      </c>
      <c r="B10" s="1099" t="s">
        <v>769</v>
      </c>
      <c r="C10" s="1100">
        <f>1577581+1974312</f>
        <v>3551893</v>
      </c>
      <c r="D10" s="1100">
        <f>+C10-1577581-1974312</f>
        <v>0</v>
      </c>
    </row>
    <row r="11" spans="1:4" s="1065" customFormat="1" ht="15.75">
      <c r="A11" s="1098" t="s">
        <v>770</v>
      </c>
      <c r="B11" s="1099" t="s">
        <v>771</v>
      </c>
      <c r="C11" s="1100">
        <f>1616564+344360</f>
        <v>1960924</v>
      </c>
      <c r="D11" s="1100">
        <f>+C11-344360-1616564</f>
        <v>0</v>
      </c>
    </row>
    <row r="12" spans="1:4" s="1065" customFormat="1" ht="15.75">
      <c r="A12" s="1101" t="s">
        <v>772</v>
      </c>
      <c r="B12" s="1102" t="s">
        <v>773</v>
      </c>
      <c r="C12" s="1103">
        <f>SUM(C13+C18+C23+C28+C33)</f>
        <v>10845046</v>
      </c>
      <c r="D12" s="1103">
        <f>SUM(D13+D18+D23+D28+D33)</f>
        <v>409142</v>
      </c>
    </row>
    <row r="13" spans="1:4" s="1065" customFormat="1" ht="31.5">
      <c r="A13" s="1101" t="s">
        <v>774</v>
      </c>
      <c r="B13" s="1102" t="s">
        <v>775</v>
      </c>
      <c r="C13" s="1103">
        <f>SUM(C14:C17)</f>
        <v>0</v>
      </c>
      <c r="D13" s="1103">
        <f>SUM(D14:D17)</f>
        <v>0</v>
      </c>
    </row>
    <row r="14" spans="1:4" s="1065" customFormat="1" ht="31.5">
      <c r="A14" s="1098" t="s">
        <v>776</v>
      </c>
      <c r="B14" s="1099" t="s">
        <v>777</v>
      </c>
      <c r="C14" s="1100"/>
      <c r="D14" s="1100"/>
    </row>
    <row r="15" spans="1:4" s="1065" customFormat="1" ht="39" customHeight="1">
      <c r="A15" s="1098" t="s">
        <v>778</v>
      </c>
      <c r="B15" s="1099" t="s">
        <v>779</v>
      </c>
      <c r="C15" s="1100"/>
      <c r="D15" s="1100"/>
    </row>
    <row r="16" spans="1:4" s="1065" customFormat="1" ht="31.5">
      <c r="A16" s="1098" t="s">
        <v>780</v>
      </c>
      <c r="B16" s="1099" t="s">
        <v>396</v>
      </c>
      <c r="C16" s="1100"/>
      <c r="D16" s="1100"/>
    </row>
    <row r="17" spans="1:4" s="1065" customFormat="1" ht="15.75">
      <c r="A17" s="1098" t="s">
        <v>781</v>
      </c>
      <c r="B17" s="1099" t="s">
        <v>398</v>
      </c>
      <c r="C17" s="1100"/>
      <c r="D17" s="1100"/>
    </row>
    <row r="18" spans="1:4" s="1065" customFormat="1" ht="31.5">
      <c r="A18" s="1101" t="s">
        <v>782</v>
      </c>
      <c r="B18" s="1102" t="s">
        <v>399</v>
      </c>
      <c r="C18" s="1104">
        <f>SUM(C19:C22)</f>
        <v>10845046</v>
      </c>
      <c r="D18" s="1104">
        <f>SUM(D19:D22)</f>
        <v>409142</v>
      </c>
    </row>
    <row r="19" spans="1:4" s="1065" customFormat="1" ht="31.5">
      <c r="A19" s="1098" t="s">
        <v>783</v>
      </c>
      <c r="B19" s="1099" t="s">
        <v>400</v>
      </c>
      <c r="C19" s="1100"/>
      <c r="D19" s="1100"/>
    </row>
    <row r="20" spans="1:4" s="1065" customFormat="1" ht="47.25">
      <c r="A20" s="1098" t="s">
        <v>784</v>
      </c>
      <c r="B20" s="1099" t="s">
        <v>401</v>
      </c>
      <c r="C20" s="1100"/>
      <c r="D20" s="1100"/>
    </row>
    <row r="21" spans="1:4" s="1065" customFormat="1" ht="31.5">
      <c r="A21" s="1098" t="s">
        <v>785</v>
      </c>
      <c r="B21" s="1099" t="s">
        <v>402</v>
      </c>
      <c r="C21" s="1100"/>
      <c r="D21" s="1100"/>
    </row>
    <row r="22" spans="1:4" s="1065" customFormat="1" ht="15.75">
      <c r="A22" s="1098" t="s">
        <v>786</v>
      </c>
      <c r="B22" s="1099" t="s">
        <v>574</v>
      </c>
      <c r="C22" s="1100">
        <v>10845046</v>
      </c>
      <c r="D22" s="1100">
        <f>+C22-10435904</f>
        <v>409142</v>
      </c>
    </row>
    <row r="23" spans="1:4" s="1065" customFormat="1" ht="15.75">
      <c r="A23" s="1101" t="s">
        <v>787</v>
      </c>
      <c r="B23" s="1102" t="s">
        <v>575</v>
      </c>
      <c r="C23" s="1105"/>
      <c r="D23" s="1105"/>
    </row>
    <row r="24" spans="1:4" s="1065" customFormat="1" ht="15.75">
      <c r="A24" s="1098" t="s">
        <v>788</v>
      </c>
      <c r="B24" s="1099" t="s">
        <v>577</v>
      </c>
      <c r="C24" s="1100"/>
      <c r="D24" s="1100"/>
    </row>
    <row r="25" spans="1:4" s="1065" customFormat="1" ht="31.5">
      <c r="A25" s="1098" t="s">
        <v>789</v>
      </c>
      <c r="B25" s="1099" t="s">
        <v>700</v>
      </c>
      <c r="C25" s="1100"/>
      <c r="D25" s="1100"/>
    </row>
    <row r="26" spans="1:4" s="1065" customFormat="1" ht="15.75">
      <c r="A26" s="1098" t="s">
        <v>790</v>
      </c>
      <c r="B26" s="1099" t="s">
        <v>701</v>
      </c>
      <c r="C26" s="1100"/>
      <c r="D26" s="1100"/>
    </row>
    <row r="27" spans="1:4" s="1065" customFormat="1" ht="15.75">
      <c r="A27" s="1098" t="s">
        <v>791</v>
      </c>
      <c r="B27" s="1099" t="s">
        <v>702</v>
      </c>
      <c r="C27" s="1100"/>
      <c r="D27" s="1100"/>
    </row>
    <row r="28" spans="1:4" s="1065" customFormat="1" ht="15.75">
      <c r="A28" s="1101" t="s">
        <v>792</v>
      </c>
      <c r="B28" s="1102" t="s">
        <v>728</v>
      </c>
      <c r="C28" s="1104">
        <f>SUM(C29:C32)</f>
        <v>0</v>
      </c>
      <c r="D28" s="1104">
        <f>SUM(D29:D32)</f>
        <v>0</v>
      </c>
    </row>
    <row r="29" spans="1:4" s="1065" customFormat="1" ht="15.75">
      <c r="A29" s="1098" t="s">
        <v>793</v>
      </c>
      <c r="B29" s="1099" t="s">
        <v>729</v>
      </c>
      <c r="C29" s="1100"/>
      <c r="D29" s="1100"/>
    </row>
    <row r="30" spans="1:4" s="1065" customFormat="1" ht="31.5">
      <c r="A30" s="1098" t="s">
        <v>794</v>
      </c>
      <c r="B30" s="1099" t="s">
        <v>730</v>
      </c>
      <c r="C30" s="1100"/>
      <c r="D30" s="1100"/>
    </row>
    <row r="31" spans="1:4" s="1065" customFormat="1" ht="15.75">
      <c r="A31" s="1098" t="s">
        <v>795</v>
      </c>
      <c r="B31" s="1099" t="s">
        <v>731</v>
      </c>
      <c r="C31" s="1100"/>
      <c r="D31" s="1100"/>
    </row>
    <row r="32" spans="1:4" s="1065" customFormat="1" ht="15.75">
      <c r="A32" s="1098" t="s">
        <v>796</v>
      </c>
      <c r="B32" s="1099" t="s">
        <v>732</v>
      </c>
      <c r="C32" s="1100"/>
      <c r="D32" s="1100"/>
    </row>
    <row r="33" spans="1:4" s="1065" customFormat="1" ht="15.75">
      <c r="A33" s="1101" t="s">
        <v>797</v>
      </c>
      <c r="B33" s="1102" t="s">
        <v>733</v>
      </c>
      <c r="C33" s="1105"/>
      <c r="D33" s="1105"/>
    </row>
    <row r="34" spans="1:4" s="1065" customFormat="1" ht="15.75">
      <c r="A34" s="1098" t="s">
        <v>798</v>
      </c>
      <c r="B34" s="1099" t="s">
        <v>734</v>
      </c>
      <c r="C34" s="1100"/>
      <c r="D34" s="1100"/>
    </row>
    <row r="35" spans="1:4" s="1065" customFormat="1" ht="47.25">
      <c r="A35" s="1098" t="s">
        <v>799</v>
      </c>
      <c r="B35" s="1099" t="s">
        <v>735</v>
      </c>
      <c r="C35" s="1100"/>
      <c r="D35" s="1100"/>
    </row>
    <row r="36" spans="1:4" s="1065" customFormat="1" ht="31.5">
      <c r="A36" s="1098" t="s">
        <v>800</v>
      </c>
      <c r="B36" s="1099" t="s">
        <v>736</v>
      </c>
      <c r="C36" s="1100"/>
      <c r="D36" s="1100"/>
    </row>
    <row r="37" spans="1:4" s="1065" customFormat="1" ht="15.75">
      <c r="A37" s="1098" t="s">
        <v>801</v>
      </c>
      <c r="B37" s="1099" t="s">
        <v>737</v>
      </c>
      <c r="C37" s="1100"/>
      <c r="D37" s="1100"/>
    </row>
    <row r="38" spans="1:4" s="1065" customFormat="1" ht="15.75">
      <c r="A38" s="1101" t="s">
        <v>802</v>
      </c>
      <c r="B38" s="1102" t="s">
        <v>738</v>
      </c>
      <c r="C38" s="1104">
        <f>SUM(C39+C44+C49)</f>
        <v>0</v>
      </c>
      <c r="D38" s="1104">
        <f>SUM(D39+D44+D49)</f>
        <v>0</v>
      </c>
    </row>
    <row r="39" spans="1:4" s="1065" customFormat="1" ht="15.75">
      <c r="A39" s="1101" t="s">
        <v>803</v>
      </c>
      <c r="B39" s="1102" t="s">
        <v>739</v>
      </c>
      <c r="C39" s="1104">
        <f>SUM(C40:C43)</f>
        <v>0</v>
      </c>
      <c r="D39" s="1104">
        <f>SUM(D40:D43)</f>
        <v>0</v>
      </c>
    </row>
    <row r="40" spans="1:4" s="1065" customFormat="1" ht="15.75">
      <c r="A40" s="1098" t="s">
        <v>804</v>
      </c>
      <c r="B40" s="1099" t="s">
        <v>805</v>
      </c>
      <c r="C40" s="1100"/>
      <c r="D40" s="1100"/>
    </row>
    <row r="41" spans="1:4" s="1065" customFormat="1" ht="31.5">
      <c r="A41" s="1098" t="s">
        <v>806</v>
      </c>
      <c r="B41" s="1099" t="s">
        <v>807</v>
      </c>
      <c r="C41" s="1100"/>
      <c r="D41" s="1100"/>
    </row>
    <row r="42" spans="1:4" s="1065" customFormat="1" ht="15.75">
      <c r="A42" s="1098" t="s">
        <v>808</v>
      </c>
      <c r="B42" s="1099" t="s">
        <v>809</v>
      </c>
      <c r="C42" s="1100"/>
      <c r="D42" s="1100"/>
    </row>
    <row r="43" spans="1:4" s="1065" customFormat="1" ht="15.75">
      <c r="A43" s="1098" t="s">
        <v>810</v>
      </c>
      <c r="B43" s="1099" t="s">
        <v>811</v>
      </c>
      <c r="C43" s="1100"/>
      <c r="D43" s="1100"/>
    </row>
    <row r="44" spans="1:4" s="1065" customFormat="1" ht="31.5">
      <c r="A44" s="1101" t="s">
        <v>812</v>
      </c>
      <c r="B44" s="1102" t="s">
        <v>813</v>
      </c>
      <c r="C44" s="1105"/>
      <c r="D44" s="1105"/>
    </row>
    <row r="45" spans="1:4" s="1065" customFormat="1" ht="31.5">
      <c r="A45" s="1098" t="s">
        <v>814</v>
      </c>
      <c r="B45" s="1099" t="s">
        <v>815</v>
      </c>
      <c r="C45" s="1100"/>
      <c r="D45" s="1100"/>
    </row>
    <row r="46" spans="1:4" s="1065" customFormat="1" ht="47.25">
      <c r="A46" s="1098" t="s">
        <v>816</v>
      </c>
      <c r="B46" s="1099" t="s">
        <v>817</v>
      </c>
      <c r="C46" s="1100"/>
      <c r="D46" s="1100"/>
    </row>
    <row r="47" spans="1:4" s="1065" customFormat="1" ht="31.5">
      <c r="A47" s="1098" t="s">
        <v>818</v>
      </c>
      <c r="B47" s="1099" t="s">
        <v>819</v>
      </c>
      <c r="C47" s="1100"/>
      <c r="D47" s="1100"/>
    </row>
    <row r="48" spans="1:4" s="1065" customFormat="1" ht="15.75">
      <c r="A48" s="1098" t="s">
        <v>820</v>
      </c>
      <c r="B48" s="1099" t="s">
        <v>821</v>
      </c>
      <c r="C48" s="1100"/>
      <c r="D48" s="1100"/>
    </row>
    <row r="49" spans="1:4" s="1065" customFormat="1" ht="31.5">
      <c r="A49" s="1101" t="s">
        <v>822</v>
      </c>
      <c r="B49" s="1102" t="s">
        <v>823</v>
      </c>
      <c r="C49" s="1105"/>
      <c r="D49" s="1105"/>
    </row>
    <row r="50" spans="1:4" s="1065" customFormat="1" ht="31.5">
      <c r="A50" s="1098" t="s">
        <v>824</v>
      </c>
      <c r="B50" s="1099" t="s">
        <v>825</v>
      </c>
      <c r="C50" s="1100"/>
      <c r="D50" s="1100"/>
    </row>
    <row r="51" spans="1:4" s="1065" customFormat="1" ht="47.25">
      <c r="A51" s="1098" t="s">
        <v>826</v>
      </c>
      <c r="B51" s="1099" t="s">
        <v>827</v>
      </c>
      <c r="C51" s="1100"/>
      <c r="D51" s="1100"/>
    </row>
    <row r="52" spans="1:4" s="1065" customFormat="1" ht="31.5">
      <c r="A52" s="1098" t="s">
        <v>828</v>
      </c>
      <c r="B52" s="1099" t="s">
        <v>829</v>
      </c>
      <c r="C52" s="1100"/>
      <c r="D52" s="1100"/>
    </row>
    <row r="53" spans="1:4" s="1065" customFormat="1" ht="15.75">
      <c r="A53" s="1098" t="s">
        <v>830</v>
      </c>
      <c r="B53" s="1099" t="s">
        <v>831</v>
      </c>
      <c r="C53" s="1100"/>
      <c r="D53" s="1100"/>
    </row>
    <row r="54" spans="1:4" s="1065" customFormat="1" ht="15.75">
      <c r="A54" s="1101" t="s">
        <v>832</v>
      </c>
      <c r="B54" s="1099" t="s">
        <v>833</v>
      </c>
      <c r="C54" s="1100"/>
      <c r="D54" s="1100"/>
    </row>
    <row r="55" spans="1:4" ht="47.25">
      <c r="A55" s="1101" t="s">
        <v>834</v>
      </c>
      <c r="B55" s="1102" t="s">
        <v>835</v>
      </c>
      <c r="C55" s="1104">
        <f>SUM(C7+C12+C38+C54)</f>
        <v>16357863</v>
      </c>
      <c r="D55" s="1104">
        <f>SUM(D7+D12+D38+D54)</f>
        <v>409142</v>
      </c>
    </row>
    <row r="56" spans="1:4" ht="15.75">
      <c r="A56" s="1101" t="s">
        <v>836</v>
      </c>
      <c r="B56" s="1099" t="s">
        <v>837</v>
      </c>
      <c r="C56" s="1106"/>
      <c r="D56" s="1106"/>
    </row>
    <row r="57" spans="1:4" ht="15.75">
      <c r="A57" s="1101" t="s">
        <v>838</v>
      </c>
      <c r="B57" s="1099" t="s">
        <v>839</v>
      </c>
      <c r="C57" s="1100"/>
      <c r="D57" s="1100"/>
    </row>
    <row r="58" spans="1:4" ht="31.5">
      <c r="A58" s="1101" t="s">
        <v>840</v>
      </c>
      <c r="B58" s="1102" t="s">
        <v>841</v>
      </c>
      <c r="C58" s="1104"/>
      <c r="D58" s="1104"/>
    </row>
    <row r="59" spans="1:4" ht="15.75">
      <c r="A59" s="1101" t="s">
        <v>842</v>
      </c>
      <c r="B59" s="1099" t="s">
        <v>843</v>
      </c>
      <c r="C59" s="1107"/>
      <c r="D59" s="1106"/>
    </row>
    <row r="60" spans="1:4" ht="15.75">
      <c r="A60" s="1101" t="s">
        <v>844</v>
      </c>
      <c r="B60" s="1099" t="s">
        <v>845</v>
      </c>
      <c r="C60" s="1107"/>
      <c r="D60" s="1106"/>
    </row>
    <row r="61" spans="1:4" ht="15.75">
      <c r="A61" s="1101" t="s">
        <v>846</v>
      </c>
      <c r="B61" s="1099" t="s">
        <v>847</v>
      </c>
      <c r="C61" s="1107"/>
      <c r="D61" s="1106">
        <v>2081317</v>
      </c>
    </row>
    <row r="62" spans="1:4" ht="15.75">
      <c r="A62" s="1101" t="s">
        <v>848</v>
      </c>
      <c r="B62" s="1099" t="s">
        <v>849</v>
      </c>
      <c r="C62" s="1107"/>
      <c r="D62" s="1106"/>
    </row>
    <row r="63" spans="1:4" ht="15.75">
      <c r="A63" s="1101" t="s">
        <v>850</v>
      </c>
      <c r="B63" s="1099" t="s">
        <v>851</v>
      </c>
      <c r="C63" s="1107"/>
      <c r="D63" s="1106"/>
    </row>
    <row r="64" spans="1:4" ht="15.75">
      <c r="A64" s="1101" t="s">
        <v>852</v>
      </c>
      <c r="B64" s="1102" t="s">
        <v>853</v>
      </c>
      <c r="C64" s="1108"/>
      <c r="D64" s="1104">
        <f>SUM(D59:D63)</f>
        <v>2081317</v>
      </c>
    </row>
    <row r="65" spans="1:4" ht="15.75">
      <c r="A65" s="1101" t="s">
        <v>854</v>
      </c>
      <c r="B65" s="1099" t="s">
        <v>855</v>
      </c>
      <c r="C65" s="1107"/>
      <c r="D65" s="1106"/>
    </row>
    <row r="66" spans="1:4" ht="15.75">
      <c r="A66" s="1101" t="s">
        <v>856</v>
      </c>
      <c r="B66" s="1099" t="s">
        <v>857</v>
      </c>
      <c r="C66" s="1107"/>
      <c r="D66" s="1106"/>
    </row>
    <row r="67" spans="1:4" ht="15.75">
      <c r="A67" s="1101" t="s">
        <v>858</v>
      </c>
      <c r="B67" s="1099" t="s">
        <v>859</v>
      </c>
      <c r="C67" s="1107"/>
      <c r="D67" s="1106"/>
    </row>
    <row r="68" spans="1:4" ht="15.75">
      <c r="A68" s="1101" t="s">
        <v>860</v>
      </c>
      <c r="B68" s="1102" t="s">
        <v>861</v>
      </c>
      <c r="C68" s="1108"/>
      <c r="D68" s="1104">
        <f>SUM(D65:D67)</f>
        <v>0</v>
      </c>
    </row>
    <row r="69" spans="1:4" ht="15.75">
      <c r="A69" s="1101" t="s">
        <v>862</v>
      </c>
      <c r="B69" s="1099" t="s">
        <v>863</v>
      </c>
      <c r="C69" s="1107"/>
      <c r="D69" s="1106"/>
    </row>
    <row r="70" spans="1:4" ht="47.25">
      <c r="A70" s="1101" t="s">
        <v>864</v>
      </c>
      <c r="B70" s="1099" t="s">
        <v>865</v>
      </c>
      <c r="C70" s="1107"/>
      <c r="D70" s="1106"/>
    </row>
    <row r="71" spans="1:4" ht="31.5">
      <c r="A71" s="1101" t="s">
        <v>866</v>
      </c>
      <c r="B71" s="1102" t="s">
        <v>867</v>
      </c>
      <c r="C71" s="1108"/>
      <c r="D71" s="1104"/>
    </row>
    <row r="72" spans="1:4" ht="15.75">
      <c r="A72" s="1101" t="s">
        <v>868</v>
      </c>
      <c r="B72" s="1102" t="s">
        <v>869</v>
      </c>
      <c r="C72" s="1107"/>
      <c r="D72" s="1106"/>
    </row>
    <row r="73" spans="1:4" ht="16.5" thickBot="1">
      <c r="A73" s="1109" t="s">
        <v>870</v>
      </c>
      <c r="B73" s="1102" t="s">
        <v>871</v>
      </c>
      <c r="C73" s="1110"/>
      <c r="D73" s="1110">
        <f>SUM(D68+D64+D58+D55+D71+D72+D56)</f>
        <v>2490459</v>
      </c>
    </row>
    <row r="75" ht="16.5" thickBot="1"/>
    <row r="76" spans="1:3" ht="15.75">
      <c r="A76" s="1724" t="s">
        <v>872</v>
      </c>
      <c r="B76" s="1726" t="s">
        <v>5</v>
      </c>
      <c r="C76" s="1728" t="s">
        <v>873</v>
      </c>
    </row>
    <row r="77" spans="1:3" ht="15.75">
      <c r="A77" s="1725"/>
      <c r="B77" s="1727"/>
      <c r="C77" s="1729"/>
    </row>
    <row r="78" spans="1:3" ht="16.5" thickBot="1">
      <c r="A78" s="1078" t="s">
        <v>559</v>
      </c>
      <c r="B78" s="1079" t="s">
        <v>14</v>
      </c>
      <c r="C78" s="1080" t="s">
        <v>560</v>
      </c>
    </row>
    <row r="79" spans="1:3" ht="15.75">
      <c r="A79" s="1081" t="s">
        <v>874</v>
      </c>
      <c r="B79" s="1082" t="s">
        <v>763</v>
      </c>
      <c r="C79" s="1083">
        <v>2204204</v>
      </c>
    </row>
    <row r="80" spans="1:3" ht="15.75">
      <c r="A80" s="1081" t="s">
        <v>875</v>
      </c>
      <c r="B80" s="1084" t="s">
        <v>765</v>
      </c>
      <c r="C80" s="1083"/>
    </row>
    <row r="81" spans="1:3" ht="15.75">
      <c r="A81" s="1081" t="s">
        <v>876</v>
      </c>
      <c r="B81" s="1084" t="s">
        <v>767</v>
      </c>
      <c r="C81" s="1083">
        <v>14503886</v>
      </c>
    </row>
    <row r="82" spans="1:3" ht="15.75">
      <c r="A82" s="1081" t="s">
        <v>877</v>
      </c>
      <c r="B82" s="1084" t="s">
        <v>769</v>
      </c>
      <c r="C82" s="1083">
        <v>-21840488</v>
      </c>
    </row>
    <row r="83" spans="1:3" ht="15.75">
      <c r="A83" s="1081" t="s">
        <v>878</v>
      </c>
      <c r="B83" s="1084" t="s">
        <v>771</v>
      </c>
      <c r="C83" s="1085">
        <v>0</v>
      </c>
    </row>
    <row r="84" spans="1:3" ht="15.75">
      <c r="A84" s="1081" t="s">
        <v>879</v>
      </c>
      <c r="B84" s="1084" t="s">
        <v>773</v>
      </c>
      <c r="C84" s="1085">
        <v>627699</v>
      </c>
    </row>
    <row r="85" spans="1:3" ht="15.75">
      <c r="A85" s="1081" t="s">
        <v>880</v>
      </c>
      <c r="B85" s="1086" t="s">
        <v>775</v>
      </c>
      <c r="C85" s="1087">
        <f>SUM(C79:C84)</f>
        <v>-4504699</v>
      </c>
    </row>
    <row r="86" spans="1:3" ht="15.75">
      <c r="A86" s="1081" t="s">
        <v>881</v>
      </c>
      <c r="B86" s="1084" t="s">
        <v>777</v>
      </c>
      <c r="C86" s="1088">
        <f>+'[2]12.sz.m.mérleg'!F220</f>
        <v>0</v>
      </c>
    </row>
    <row r="87" spans="1:3" ht="15.75">
      <c r="A87" s="1081" t="s">
        <v>882</v>
      </c>
      <c r="B87" s="1084" t="s">
        <v>779</v>
      </c>
      <c r="C87" s="1085">
        <f>+'[2]12.sz.m.mérleg'!F244</f>
        <v>0</v>
      </c>
    </row>
    <row r="88" spans="1:3" ht="15.75">
      <c r="A88" s="1081" t="s">
        <v>883</v>
      </c>
      <c r="B88" s="1084" t="s">
        <v>396</v>
      </c>
      <c r="C88" s="1085">
        <f>+'[2]12.sz.m.mérleg'!F255</f>
        <v>0</v>
      </c>
    </row>
    <row r="89" spans="1:3" ht="15.75">
      <c r="A89" s="1081" t="s">
        <v>884</v>
      </c>
      <c r="B89" s="1086" t="s">
        <v>398</v>
      </c>
      <c r="C89" s="1087">
        <f>C86+C87+C88</f>
        <v>0</v>
      </c>
    </row>
    <row r="90" spans="1:3" ht="15.75">
      <c r="A90" s="1081" t="s">
        <v>885</v>
      </c>
      <c r="B90" s="1086" t="s">
        <v>399</v>
      </c>
      <c r="C90" s="1085"/>
    </row>
    <row r="91" spans="1:3" ht="15.75">
      <c r="A91" s="1081" t="s">
        <v>886</v>
      </c>
      <c r="B91" s="1086" t="s">
        <v>400</v>
      </c>
      <c r="C91" s="1089">
        <v>6995158</v>
      </c>
    </row>
    <row r="92" spans="1:3" ht="16.5" thickBot="1">
      <c r="A92" s="1090" t="s">
        <v>887</v>
      </c>
      <c r="B92" s="1091" t="s">
        <v>401</v>
      </c>
      <c r="C92" s="1092">
        <f>C85+C89+C90+C91</f>
        <v>2490459</v>
      </c>
    </row>
  </sheetData>
  <sheetProtection selectLockedCells="1" selectUnlockedCells="1"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2" r:id="rId1"/>
  <headerFooter alignWithMargins="0">
    <oddHeader>&amp;R13.b.számú melléklet</oddHeader>
    <oddFooter>&amp;C&amp;"Times New Roman,Normál"&amp;12Oldal &amp;P</oddFooter>
  </headerFooter>
  <rowBreaks count="2" manualBreakCount="2">
    <brk id="35" max="255" man="1"/>
    <brk id="7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</sheetPr>
  <dimension ref="A1:IV92"/>
  <sheetViews>
    <sheetView view="pageBreakPreview" zoomScale="60" workbookViewId="0" topLeftCell="A46">
      <selection activeCell="C79" sqref="C79:C92"/>
    </sheetView>
  </sheetViews>
  <sheetFormatPr defaultColWidth="60.421875" defaultRowHeight="12.75"/>
  <cols>
    <col min="1" max="1" width="60.421875" style="1003" customWidth="1"/>
    <col min="2" max="2" width="5.57421875" style="1003" customWidth="1"/>
    <col min="3" max="3" width="13.28125" style="1003" customWidth="1"/>
    <col min="4" max="4" width="14.8515625" style="1003" customWidth="1"/>
    <col min="5" max="255" width="10.7109375" style="1003" customWidth="1"/>
    <col min="256" max="16384" width="60.421875" style="1003" customWidth="1"/>
  </cols>
  <sheetData>
    <row r="1" spans="1:256" ht="49.5" customHeight="1">
      <c r="A1" s="1736" t="s">
        <v>917</v>
      </c>
      <c r="B1" s="1736"/>
      <c r="C1" s="1736"/>
      <c r="D1" s="1736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1002"/>
      <c r="R1" s="1002"/>
      <c r="S1" s="1002"/>
      <c r="T1" s="1002"/>
      <c r="U1" s="1002"/>
      <c r="V1" s="1002"/>
      <c r="W1" s="1002"/>
      <c r="X1" s="1002"/>
      <c r="Y1" s="1002"/>
      <c r="Z1" s="1002"/>
      <c r="AA1" s="1002"/>
      <c r="AB1" s="1002"/>
      <c r="AC1" s="1002"/>
      <c r="AD1" s="1002"/>
      <c r="AE1" s="1002"/>
      <c r="AF1" s="1002"/>
      <c r="AG1" s="1002"/>
      <c r="AH1" s="1002"/>
      <c r="AI1" s="1002"/>
      <c r="AJ1" s="1002"/>
      <c r="AK1" s="1002"/>
      <c r="AL1" s="1002"/>
      <c r="AM1" s="1002"/>
      <c r="AN1" s="1002"/>
      <c r="AO1" s="1002"/>
      <c r="AP1" s="1002"/>
      <c r="AQ1" s="1002"/>
      <c r="AR1" s="1002"/>
      <c r="AS1" s="1002"/>
      <c r="AT1" s="1002"/>
      <c r="AU1" s="1002"/>
      <c r="AV1" s="1002"/>
      <c r="AW1" s="1002"/>
      <c r="AX1" s="1002"/>
      <c r="AY1" s="1002"/>
      <c r="AZ1" s="1002"/>
      <c r="BA1" s="1002"/>
      <c r="BB1" s="1002"/>
      <c r="BC1" s="1002"/>
      <c r="BD1" s="1002"/>
      <c r="BE1" s="1002"/>
      <c r="BF1" s="1002"/>
      <c r="BG1" s="1002"/>
      <c r="BH1" s="1002"/>
      <c r="BI1" s="1002"/>
      <c r="BJ1" s="1002"/>
      <c r="BK1" s="1002"/>
      <c r="BL1" s="1002"/>
      <c r="BM1" s="1002"/>
      <c r="BN1" s="1002"/>
      <c r="BO1" s="1002"/>
      <c r="BP1" s="1002"/>
      <c r="BQ1" s="1002"/>
      <c r="BR1" s="1002"/>
      <c r="BS1" s="1002"/>
      <c r="BT1" s="1002"/>
      <c r="BU1" s="1002"/>
      <c r="BV1" s="1002"/>
      <c r="BW1" s="1002"/>
      <c r="BX1" s="1002"/>
      <c r="BY1" s="1002"/>
      <c r="BZ1" s="1002"/>
      <c r="CA1" s="1002"/>
      <c r="CB1" s="1002"/>
      <c r="CC1" s="1002"/>
      <c r="CD1" s="1002"/>
      <c r="CE1" s="1002"/>
      <c r="CF1" s="1002"/>
      <c r="CG1" s="1002"/>
      <c r="CH1" s="1002"/>
      <c r="CI1" s="1002"/>
      <c r="CJ1" s="1002"/>
      <c r="CK1" s="1002"/>
      <c r="CL1" s="1002"/>
      <c r="CM1" s="1002"/>
      <c r="CN1" s="1002"/>
      <c r="CO1" s="1002"/>
      <c r="CP1" s="1002"/>
      <c r="CQ1" s="1002"/>
      <c r="CR1" s="1002"/>
      <c r="CS1" s="1002"/>
      <c r="CT1" s="1002"/>
      <c r="CU1" s="1002"/>
      <c r="CV1" s="1002"/>
      <c r="CW1" s="1002"/>
      <c r="CX1" s="1002"/>
      <c r="CY1" s="1002"/>
      <c r="CZ1" s="1002"/>
      <c r="DA1" s="1002"/>
      <c r="DB1" s="1002"/>
      <c r="DC1" s="1002"/>
      <c r="DD1" s="1002"/>
      <c r="DE1" s="1002"/>
      <c r="DF1" s="1002"/>
      <c r="DG1" s="1002"/>
      <c r="DH1" s="1002"/>
      <c r="DI1" s="1002"/>
      <c r="DJ1" s="1002"/>
      <c r="DK1" s="1002"/>
      <c r="DL1" s="1002"/>
      <c r="DM1" s="1002"/>
      <c r="DN1" s="1002"/>
      <c r="DO1" s="1002"/>
      <c r="DP1" s="1002"/>
      <c r="DQ1" s="1002"/>
      <c r="DR1" s="1002"/>
      <c r="DS1" s="1002"/>
      <c r="DT1" s="1002"/>
      <c r="DU1" s="1002"/>
      <c r="DV1" s="1002"/>
      <c r="DW1" s="1002"/>
      <c r="DX1" s="1002"/>
      <c r="DY1" s="1002"/>
      <c r="DZ1" s="1002"/>
      <c r="EA1" s="1002"/>
      <c r="EB1" s="1002"/>
      <c r="EC1" s="1002"/>
      <c r="ED1" s="1002"/>
      <c r="EE1" s="1002"/>
      <c r="EF1" s="1002"/>
      <c r="EG1" s="1002"/>
      <c r="EH1" s="1002"/>
      <c r="EI1" s="1002"/>
      <c r="EJ1" s="1002"/>
      <c r="EK1" s="1002"/>
      <c r="EL1" s="1002"/>
      <c r="EM1" s="1002"/>
      <c r="EN1" s="1002"/>
      <c r="EO1" s="1002"/>
      <c r="EP1" s="1002"/>
      <c r="EQ1" s="1002"/>
      <c r="ER1" s="1002"/>
      <c r="ES1" s="1002"/>
      <c r="ET1" s="1002"/>
      <c r="EU1" s="1002"/>
      <c r="EV1" s="1002"/>
      <c r="EW1" s="1002"/>
      <c r="EX1" s="1002"/>
      <c r="EY1" s="1002"/>
      <c r="EZ1" s="1002"/>
      <c r="FA1" s="1002"/>
      <c r="FB1" s="1002"/>
      <c r="FC1" s="1002"/>
      <c r="FD1" s="1002"/>
      <c r="FE1" s="1002"/>
      <c r="FF1" s="1002"/>
      <c r="FG1" s="1002"/>
      <c r="FH1" s="1002"/>
      <c r="FI1" s="1002"/>
      <c r="FJ1" s="1002"/>
      <c r="FK1" s="1002"/>
      <c r="FL1" s="1002"/>
      <c r="FM1" s="1002"/>
      <c r="FN1" s="1002"/>
      <c r="FO1" s="1002"/>
      <c r="FP1" s="1002"/>
      <c r="FQ1" s="1002"/>
      <c r="FR1" s="1002"/>
      <c r="FS1" s="1002"/>
      <c r="FT1" s="1002"/>
      <c r="FU1" s="1002"/>
      <c r="FV1" s="1002"/>
      <c r="FW1" s="1002"/>
      <c r="FX1" s="1002"/>
      <c r="FY1" s="1002"/>
      <c r="FZ1" s="1002"/>
      <c r="GA1" s="1002"/>
      <c r="GB1" s="1002"/>
      <c r="GC1" s="1002"/>
      <c r="GD1" s="1002"/>
      <c r="GE1" s="1002"/>
      <c r="GF1" s="1002"/>
      <c r="GG1" s="1002"/>
      <c r="GH1" s="1002"/>
      <c r="GI1" s="1002"/>
      <c r="GJ1" s="1002"/>
      <c r="GK1" s="1002"/>
      <c r="GL1" s="1002"/>
      <c r="GM1" s="1002"/>
      <c r="GN1" s="1002"/>
      <c r="GO1" s="1002"/>
      <c r="GP1" s="1002"/>
      <c r="GQ1" s="1002"/>
      <c r="GR1" s="1002"/>
      <c r="GS1" s="1002"/>
      <c r="GT1" s="1002"/>
      <c r="GU1" s="1002"/>
      <c r="GV1" s="1002"/>
      <c r="GW1" s="1002"/>
      <c r="GX1" s="1002"/>
      <c r="GY1" s="1002"/>
      <c r="GZ1" s="1002"/>
      <c r="HA1" s="1002"/>
      <c r="HB1" s="1002"/>
      <c r="HC1" s="1002"/>
      <c r="HD1" s="1002"/>
      <c r="HE1" s="1002"/>
      <c r="HF1" s="1002"/>
      <c r="HG1" s="1002"/>
      <c r="HH1" s="1002"/>
      <c r="HI1" s="1002"/>
      <c r="HJ1" s="1002"/>
      <c r="HK1" s="1002"/>
      <c r="HL1" s="1002"/>
      <c r="HM1" s="1002"/>
      <c r="HN1" s="1002"/>
      <c r="HO1" s="1002"/>
      <c r="HP1" s="1002"/>
      <c r="HQ1" s="1002"/>
      <c r="HR1" s="1002"/>
      <c r="HS1" s="1002"/>
      <c r="HT1" s="1002"/>
      <c r="HU1" s="1002"/>
      <c r="HV1" s="1002"/>
      <c r="HW1" s="1002"/>
      <c r="HX1" s="1002"/>
      <c r="HY1" s="1002"/>
      <c r="HZ1" s="1002"/>
      <c r="IA1" s="1002"/>
      <c r="IB1" s="1002"/>
      <c r="IC1" s="1002"/>
      <c r="ID1" s="1002"/>
      <c r="IE1" s="1002"/>
      <c r="IF1" s="1002"/>
      <c r="IG1" s="1002"/>
      <c r="IH1" s="1002"/>
      <c r="II1" s="1002"/>
      <c r="IJ1" s="1002"/>
      <c r="IK1" s="1002"/>
      <c r="IL1" s="1002"/>
      <c r="IM1" s="1002"/>
      <c r="IN1" s="1002"/>
      <c r="IO1" s="1002"/>
      <c r="IP1" s="1002"/>
      <c r="IQ1" s="1002"/>
      <c r="IR1" s="1002"/>
      <c r="IS1" s="1002"/>
      <c r="IT1" s="1002"/>
      <c r="IU1" s="1002"/>
      <c r="IV1" s="1002"/>
    </row>
    <row r="2" spans="1:256" ht="16.5" thickBot="1">
      <c r="A2" s="1004" t="s">
        <v>213</v>
      </c>
      <c r="B2" s="1005"/>
      <c r="C2" s="1737" t="s">
        <v>756</v>
      </c>
      <c r="D2" s="1737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2"/>
      <c r="P2" s="1002"/>
      <c r="Q2" s="1002"/>
      <c r="R2" s="1002"/>
      <c r="S2" s="1002"/>
      <c r="T2" s="1002"/>
      <c r="U2" s="1002"/>
      <c r="V2" s="1002"/>
      <c r="W2" s="1002"/>
      <c r="X2" s="1002"/>
      <c r="Y2" s="1002"/>
      <c r="Z2" s="1002"/>
      <c r="AA2" s="1002"/>
      <c r="AB2" s="1002"/>
      <c r="AC2" s="1002"/>
      <c r="AD2" s="1002"/>
      <c r="AE2" s="1002"/>
      <c r="AF2" s="1002"/>
      <c r="AG2" s="1002"/>
      <c r="AH2" s="1002"/>
      <c r="AI2" s="1002"/>
      <c r="AJ2" s="1002"/>
      <c r="AK2" s="1002"/>
      <c r="AL2" s="1002"/>
      <c r="AM2" s="1002"/>
      <c r="AN2" s="1002"/>
      <c r="AO2" s="1002"/>
      <c r="AP2" s="1002"/>
      <c r="AQ2" s="1002"/>
      <c r="AR2" s="1002"/>
      <c r="AS2" s="1002"/>
      <c r="AT2" s="1002"/>
      <c r="AU2" s="1002"/>
      <c r="AV2" s="1002"/>
      <c r="AW2" s="1002"/>
      <c r="AX2" s="1002"/>
      <c r="AY2" s="1002"/>
      <c r="AZ2" s="1002"/>
      <c r="BA2" s="1002"/>
      <c r="BB2" s="1002"/>
      <c r="BC2" s="1002"/>
      <c r="BD2" s="1002"/>
      <c r="BE2" s="1002"/>
      <c r="BF2" s="1002"/>
      <c r="BG2" s="1002"/>
      <c r="BH2" s="1002"/>
      <c r="BI2" s="1002"/>
      <c r="BJ2" s="1002"/>
      <c r="BK2" s="1002"/>
      <c r="BL2" s="1002"/>
      <c r="BM2" s="1002"/>
      <c r="BN2" s="1002"/>
      <c r="BO2" s="1002"/>
      <c r="BP2" s="1002"/>
      <c r="BQ2" s="1002"/>
      <c r="BR2" s="1002"/>
      <c r="BS2" s="1002"/>
      <c r="BT2" s="1002"/>
      <c r="BU2" s="1002"/>
      <c r="BV2" s="1002"/>
      <c r="BW2" s="1002"/>
      <c r="BX2" s="1002"/>
      <c r="BY2" s="1002"/>
      <c r="BZ2" s="1002"/>
      <c r="CA2" s="1002"/>
      <c r="CB2" s="1002"/>
      <c r="CC2" s="1002"/>
      <c r="CD2" s="1002"/>
      <c r="CE2" s="1002"/>
      <c r="CF2" s="1002"/>
      <c r="CG2" s="1002"/>
      <c r="CH2" s="1002"/>
      <c r="CI2" s="1002"/>
      <c r="CJ2" s="1002"/>
      <c r="CK2" s="1002"/>
      <c r="CL2" s="1002"/>
      <c r="CM2" s="1002"/>
      <c r="CN2" s="1002"/>
      <c r="CO2" s="1002"/>
      <c r="CP2" s="1002"/>
      <c r="CQ2" s="1002"/>
      <c r="CR2" s="1002"/>
      <c r="CS2" s="1002"/>
      <c r="CT2" s="1002"/>
      <c r="CU2" s="1002"/>
      <c r="CV2" s="1002"/>
      <c r="CW2" s="1002"/>
      <c r="CX2" s="1002"/>
      <c r="CY2" s="1002"/>
      <c r="CZ2" s="1002"/>
      <c r="DA2" s="1002"/>
      <c r="DB2" s="1002"/>
      <c r="DC2" s="1002"/>
      <c r="DD2" s="1002"/>
      <c r="DE2" s="1002"/>
      <c r="DF2" s="1002"/>
      <c r="DG2" s="1002"/>
      <c r="DH2" s="1002"/>
      <c r="DI2" s="1002"/>
      <c r="DJ2" s="1002"/>
      <c r="DK2" s="1002"/>
      <c r="DL2" s="1002"/>
      <c r="DM2" s="1002"/>
      <c r="DN2" s="1002"/>
      <c r="DO2" s="1002"/>
      <c r="DP2" s="1002"/>
      <c r="DQ2" s="1002"/>
      <c r="DR2" s="1002"/>
      <c r="DS2" s="1002"/>
      <c r="DT2" s="1002"/>
      <c r="DU2" s="1002"/>
      <c r="DV2" s="1002"/>
      <c r="DW2" s="1002"/>
      <c r="DX2" s="1002"/>
      <c r="DY2" s="1002"/>
      <c r="DZ2" s="1002"/>
      <c r="EA2" s="1002"/>
      <c r="EB2" s="1002"/>
      <c r="EC2" s="1002"/>
      <c r="ED2" s="1002"/>
      <c r="EE2" s="1002"/>
      <c r="EF2" s="1002"/>
      <c r="EG2" s="1002"/>
      <c r="EH2" s="1002"/>
      <c r="EI2" s="1002"/>
      <c r="EJ2" s="1002"/>
      <c r="EK2" s="1002"/>
      <c r="EL2" s="1002"/>
      <c r="EM2" s="1002"/>
      <c r="EN2" s="1002"/>
      <c r="EO2" s="1002"/>
      <c r="EP2" s="1002"/>
      <c r="EQ2" s="1002"/>
      <c r="ER2" s="1002"/>
      <c r="ES2" s="1002"/>
      <c r="ET2" s="1002"/>
      <c r="EU2" s="1002"/>
      <c r="EV2" s="1002"/>
      <c r="EW2" s="1002"/>
      <c r="EX2" s="1002"/>
      <c r="EY2" s="1002"/>
      <c r="EZ2" s="1002"/>
      <c r="FA2" s="1002"/>
      <c r="FB2" s="1002"/>
      <c r="FC2" s="1002"/>
      <c r="FD2" s="1002"/>
      <c r="FE2" s="1002"/>
      <c r="FF2" s="1002"/>
      <c r="FG2" s="1002"/>
      <c r="FH2" s="1002"/>
      <c r="FI2" s="1002"/>
      <c r="FJ2" s="1002"/>
      <c r="FK2" s="1002"/>
      <c r="FL2" s="1002"/>
      <c r="FM2" s="1002"/>
      <c r="FN2" s="1002"/>
      <c r="FO2" s="1002"/>
      <c r="FP2" s="1002"/>
      <c r="FQ2" s="1002"/>
      <c r="FR2" s="1002"/>
      <c r="FS2" s="1002"/>
      <c r="FT2" s="1002"/>
      <c r="FU2" s="1002"/>
      <c r="FV2" s="1002"/>
      <c r="FW2" s="1002"/>
      <c r="FX2" s="1002"/>
      <c r="FY2" s="1002"/>
      <c r="FZ2" s="1002"/>
      <c r="GA2" s="1002"/>
      <c r="GB2" s="1002"/>
      <c r="GC2" s="1002"/>
      <c r="GD2" s="1002"/>
      <c r="GE2" s="1002"/>
      <c r="GF2" s="1002"/>
      <c r="GG2" s="1002"/>
      <c r="GH2" s="1002"/>
      <c r="GI2" s="1002"/>
      <c r="GJ2" s="1002"/>
      <c r="GK2" s="1002"/>
      <c r="GL2" s="1002"/>
      <c r="GM2" s="1002"/>
      <c r="GN2" s="1002"/>
      <c r="GO2" s="1002"/>
      <c r="GP2" s="1002"/>
      <c r="GQ2" s="1002"/>
      <c r="GR2" s="1002"/>
      <c r="GS2" s="1002"/>
      <c r="GT2" s="1002"/>
      <c r="GU2" s="1002"/>
      <c r="GV2" s="1002"/>
      <c r="GW2" s="1002"/>
      <c r="GX2" s="1002"/>
      <c r="GY2" s="1002"/>
      <c r="GZ2" s="1002"/>
      <c r="HA2" s="1002"/>
      <c r="HB2" s="1002"/>
      <c r="HC2" s="1002"/>
      <c r="HD2" s="1002"/>
      <c r="HE2" s="1002"/>
      <c r="HF2" s="1002"/>
      <c r="HG2" s="1002"/>
      <c r="HH2" s="1002"/>
      <c r="HI2" s="1002"/>
      <c r="HJ2" s="1002"/>
      <c r="HK2" s="1002"/>
      <c r="HL2" s="1002"/>
      <c r="HM2" s="1002"/>
      <c r="HN2" s="1002"/>
      <c r="HO2" s="1002"/>
      <c r="HP2" s="1002"/>
      <c r="HQ2" s="1002"/>
      <c r="HR2" s="1002"/>
      <c r="HS2" s="1002"/>
      <c r="HT2" s="1002"/>
      <c r="HU2" s="1002"/>
      <c r="HV2" s="1002"/>
      <c r="HW2" s="1002"/>
      <c r="HX2" s="1002"/>
      <c r="HY2" s="1002"/>
      <c r="HZ2" s="1002"/>
      <c r="IA2" s="1002"/>
      <c r="IB2" s="1002"/>
      <c r="IC2" s="1002"/>
      <c r="ID2" s="1002"/>
      <c r="IE2" s="1002"/>
      <c r="IF2" s="1002"/>
      <c r="IG2" s="1002"/>
      <c r="IH2" s="1002"/>
      <c r="II2" s="1002"/>
      <c r="IJ2" s="1002"/>
      <c r="IK2" s="1002"/>
      <c r="IL2" s="1002"/>
      <c r="IM2" s="1002"/>
      <c r="IN2" s="1002"/>
      <c r="IO2" s="1002"/>
      <c r="IP2" s="1002"/>
      <c r="IQ2" s="1002"/>
      <c r="IR2" s="1002"/>
      <c r="IS2" s="1002"/>
      <c r="IT2" s="1002"/>
      <c r="IU2" s="1002"/>
      <c r="IV2" s="1002"/>
    </row>
    <row r="3" spans="1:256" ht="15.75" customHeight="1" thickBot="1">
      <c r="A3" s="1738" t="s">
        <v>757</v>
      </c>
      <c r="B3" s="1739" t="s">
        <v>5</v>
      </c>
      <c r="C3" s="1740" t="s">
        <v>758</v>
      </c>
      <c r="D3" s="1740" t="s">
        <v>759</v>
      </c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2"/>
      <c r="R3" s="1002"/>
      <c r="S3" s="1002"/>
      <c r="T3" s="1002"/>
      <c r="U3" s="1002"/>
      <c r="V3" s="1002"/>
      <c r="W3" s="1002"/>
      <c r="X3" s="1002"/>
      <c r="Y3" s="1002"/>
      <c r="Z3" s="1002"/>
      <c r="AA3" s="1002"/>
      <c r="AB3" s="1002"/>
      <c r="AC3" s="1002"/>
      <c r="AD3" s="1002"/>
      <c r="AE3" s="1002"/>
      <c r="AF3" s="1002"/>
      <c r="AG3" s="1002"/>
      <c r="AH3" s="1002"/>
      <c r="AI3" s="1002"/>
      <c r="AJ3" s="1002"/>
      <c r="AK3" s="1002"/>
      <c r="AL3" s="1002"/>
      <c r="AM3" s="1002"/>
      <c r="AN3" s="1002"/>
      <c r="AO3" s="1002"/>
      <c r="AP3" s="1002"/>
      <c r="AQ3" s="1002"/>
      <c r="AR3" s="1002"/>
      <c r="AS3" s="1002"/>
      <c r="AT3" s="1002"/>
      <c r="AU3" s="1002"/>
      <c r="AV3" s="1002"/>
      <c r="AW3" s="1002"/>
      <c r="AX3" s="1002"/>
      <c r="AY3" s="1002"/>
      <c r="AZ3" s="1002"/>
      <c r="BA3" s="1002"/>
      <c r="BB3" s="1002"/>
      <c r="BC3" s="1002"/>
      <c r="BD3" s="1002"/>
      <c r="BE3" s="1002"/>
      <c r="BF3" s="1002"/>
      <c r="BG3" s="1002"/>
      <c r="BH3" s="1002"/>
      <c r="BI3" s="1002"/>
      <c r="BJ3" s="1002"/>
      <c r="BK3" s="1002"/>
      <c r="BL3" s="1002"/>
      <c r="BM3" s="1002"/>
      <c r="BN3" s="1002"/>
      <c r="BO3" s="1002"/>
      <c r="BP3" s="1002"/>
      <c r="BQ3" s="1002"/>
      <c r="BR3" s="1002"/>
      <c r="BS3" s="1002"/>
      <c r="BT3" s="1002"/>
      <c r="BU3" s="1002"/>
      <c r="BV3" s="1002"/>
      <c r="BW3" s="1002"/>
      <c r="BX3" s="1002"/>
      <c r="BY3" s="1002"/>
      <c r="BZ3" s="1002"/>
      <c r="CA3" s="1002"/>
      <c r="CB3" s="1002"/>
      <c r="CC3" s="1002"/>
      <c r="CD3" s="1002"/>
      <c r="CE3" s="1002"/>
      <c r="CF3" s="1002"/>
      <c r="CG3" s="1002"/>
      <c r="CH3" s="1002"/>
      <c r="CI3" s="1002"/>
      <c r="CJ3" s="1002"/>
      <c r="CK3" s="1002"/>
      <c r="CL3" s="1002"/>
      <c r="CM3" s="1002"/>
      <c r="CN3" s="1002"/>
      <c r="CO3" s="1002"/>
      <c r="CP3" s="1002"/>
      <c r="CQ3" s="1002"/>
      <c r="CR3" s="1002"/>
      <c r="CS3" s="1002"/>
      <c r="CT3" s="1002"/>
      <c r="CU3" s="1002"/>
      <c r="CV3" s="1002"/>
      <c r="CW3" s="1002"/>
      <c r="CX3" s="1002"/>
      <c r="CY3" s="1002"/>
      <c r="CZ3" s="1002"/>
      <c r="DA3" s="1002"/>
      <c r="DB3" s="1002"/>
      <c r="DC3" s="1002"/>
      <c r="DD3" s="1002"/>
      <c r="DE3" s="1002"/>
      <c r="DF3" s="1002"/>
      <c r="DG3" s="1002"/>
      <c r="DH3" s="1002"/>
      <c r="DI3" s="1002"/>
      <c r="DJ3" s="1002"/>
      <c r="DK3" s="1002"/>
      <c r="DL3" s="1002"/>
      <c r="DM3" s="1002"/>
      <c r="DN3" s="1002"/>
      <c r="DO3" s="1002"/>
      <c r="DP3" s="1002"/>
      <c r="DQ3" s="1002"/>
      <c r="DR3" s="1002"/>
      <c r="DS3" s="1002"/>
      <c r="DT3" s="1002"/>
      <c r="DU3" s="1002"/>
      <c r="DV3" s="1002"/>
      <c r="DW3" s="1002"/>
      <c r="DX3" s="1002"/>
      <c r="DY3" s="1002"/>
      <c r="DZ3" s="1002"/>
      <c r="EA3" s="1002"/>
      <c r="EB3" s="1002"/>
      <c r="EC3" s="1002"/>
      <c r="ED3" s="1002"/>
      <c r="EE3" s="1002"/>
      <c r="EF3" s="1002"/>
      <c r="EG3" s="1002"/>
      <c r="EH3" s="1002"/>
      <c r="EI3" s="1002"/>
      <c r="EJ3" s="1002"/>
      <c r="EK3" s="1002"/>
      <c r="EL3" s="1002"/>
      <c r="EM3" s="1002"/>
      <c r="EN3" s="1002"/>
      <c r="EO3" s="1002"/>
      <c r="EP3" s="1002"/>
      <c r="EQ3" s="1002"/>
      <c r="ER3" s="1002"/>
      <c r="ES3" s="1002"/>
      <c r="ET3" s="1002"/>
      <c r="EU3" s="1002"/>
      <c r="EV3" s="1002"/>
      <c r="EW3" s="1002"/>
      <c r="EX3" s="1002"/>
      <c r="EY3" s="1002"/>
      <c r="EZ3" s="1002"/>
      <c r="FA3" s="1002"/>
      <c r="FB3" s="1002"/>
      <c r="FC3" s="1002"/>
      <c r="FD3" s="1002"/>
      <c r="FE3" s="1002"/>
      <c r="FF3" s="1002"/>
      <c r="FG3" s="1002"/>
      <c r="FH3" s="1002"/>
      <c r="FI3" s="1002"/>
      <c r="FJ3" s="1002"/>
      <c r="FK3" s="1002"/>
      <c r="FL3" s="1002"/>
      <c r="FM3" s="1002"/>
      <c r="FN3" s="1002"/>
      <c r="FO3" s="1002"/>
      <c r="FP3" s="1002"/>
      <c r="FQ3" s="1002"/>
      <c r="FR3" s="1002"/>
      <c r="FS3" s="1002"/>
      <c r="FT3" s="1002"/>
      <c r="FU3" s="1002"/>
      <c r="FV3" s="1002"/>
      <c r="FW3" s="1002"/>
      <c r="FX3" s="1002"/>
      <c r="FY3" s="1002"/>
      <c r="FZ3" s="1002"/>
      <c r="GA3" s="1002"/>
      <c r="GB3" s="1002"/>
      <c r="GC3" s="1002"/>
      <c r="GD3" s="1002"/>
      <c r="GE3" s="1002"/>
      <c r="GF3" s="1002"/>
      <c r="GG3" s="1002"/>
      <c r="GH3" s="1002"/>
      <c r="GI3" s="1002"/>
      <c r="GJ3" s="1002"/>
      <c r="GK3" s="1002"/>
      <c r="GL3" s="1002"/>
      <c r="GM3" s="1002"/>
      <c r="GN3" s="1002"/>
      <c r="GO3" s="1002"/>
      <c r="GP3" s="1002"/>
      <c r="GQ3" s="1002"/>
      <c r="GR3" s="1002"/>
      <c r="GS3" s="1002"/>
      <c r="GT3" s="1002"/>
      <c r="GU3" s="1002"/>
      <c r="GV3" s="1002"/>
      <c r="GW3" s="1002"/>
      <c r="GX3" s="1002"/>
      <c r="GY3" s="1002"/>
      <c r="GZ3" s="1002"/>
      <c r="HA3" s="1002"/>
      <c r="HB3" s="1002"/>
      <c r="HC3" s="1002"/>
      <c r="HD3" s="1002"/>
      <c r="HE3" s="1002"/>
      <c r="HF3" s="1002"/>
      <c r="HG3" s="1002"/>
      <c r="HH3" s="1002"/>
      <c r="HI3" s="1002"/>
      <c r="HJ3" s="1002"/>
      <c r="HK3" s="1002"/>
      <c r="HL3" s="1002"/>
      <c r="HM3" s="1002"/>
      <c r="HN3" s="1002"/>
      <c r="HO3" s="1002"/>
      <c r="HP3" s="1002"/>
      <c r="HQ3" s="1002"/>
      <c r="HR3" s="1002"/>
      <c r="HS3" s="1002"/>
      <c r="HT3" s="1002"/>
      <c r="HU3" s="1002"/>
      <c r="HV3" s="1002"/>
      <c r="HW3" s="1002"/>
      <c r="HX3" s="1002"/>
      <c r="HY3" s="1002"/>
      <c r="HZ3" s="1002"/>
      <c r="IA3" s="1002"/>
      <c r="IB3" s="1002"/>
      <c r="IC3" s="1002"/>
      <c r="ID3" s="1002"/>
      <c r="IE3" s="1002"/>
      <c r="IF3" s="1002"/>
      <c r="IG3" s="1002"/>
      <c r="IH3" s="1002"/>
      <c r="II3" s="1002"/>
      <c r="IJ3" s="1002"/>
      <c r="IK3" s="1002"/>
      <c r="IL3" s="1002"/>
      <c r="IM3" s="1002"/>
      <c r="IN3" s="1002"/>
      <c r="IO3" s="1002"/>
      <c r="IP3" s="1002"/>
      <c r="IQ3" s="1002"/>
      <c r="IR3" s="1002"/>
      <c r="IS3" s="1002"/>
      <c r="IT3" s="1002"/>
      <c r="IU3" s="1002"/>
      <c r="IV3" s="1002"/>
    </row>
    <row r="4" spans="1:256" ht="11.25" customHeight="1" thickBot="1">
      <c r="A4" s="1738"/>
      <c r="B4" s="1739"/>
      <c r="C4" s="1740"/>
      <c r="D4" s="1740"/>
      <c r="E4" s="1002"/>
      <c r="F4" s="1002"/>
      <c r="G4" s="1002"/>
      <c r="H4" s="1002"/>
      <c r="I4" s="1002"/>
      <c r="J4" s="1002"/>
      <c r="K4" s="1002"/>
      <c r="L4" s="1002"/>
      <c r="M4" s="1002"/>
      <c r="N4" s="1002"/>
      <c r="O4" s="1002"/>
      <c r="P4" s="1002"/>
      <c r="Q4" s="1002"/>
      <c r="R4" s="1002"/>
      <c r="S4" s="1002"/>
      <c r="T4" s="1002"/>
      <c r="U4" s="1002"/>
      <c r="V4" s="1002"/>
      <c r="W4" s="1002"/>
      <c r="X4" s="1002"/>
      <c r="Y4" s="1002"/>
      <c r="Z4" s="1002"/>
      <c r="AA4" s="1002"/>
      <c r="AB4" s="1002"/>
      <c r="AC4" s="1002"/>
      <c r="AD4" s="1002"/>
      <c r="AE4" s="1002"/>
      <c r="AF4" s="1002"/>
      <c r="AG4" s="1002"/>
      <c r="AH4" s="1002"/>
      <c r="AI4" s="1002"/>
      <c r="AJ4" s="1002"/>
      <c r="AK4" s="1002"/>
      <c r="AL4" s="1002"/>
      <c r="AM4" s="1002"/>
      <c r="AN4" s="1002"/>
      <c r="AO4" s="1002"/>
      <c r="AP4" s="1002"/>
      <c r="AQ4" s="1002"/>
      <c r="AR4" s="1002"/>
      <c r="AS4" s="1002"/>
      <c r="AT4" s="1002"/>
      <c r="AU4" s="1002"/>
      <c r="AV4" s="1002"/>
      <c r="AW4" s="1002"/>
      <c r="AX4" s="1002"/>
      <c r="AY4" s="1002"/>
      <c r="AZ4" s="1002"/>
      <c r="BA4" s="1002"/>
      <c r="BB4" s="1002"/>
      <c r="BC4" s="1002"/>
      <c r="BD4" s="1002"/>
      <c r="BE4" s="1002"/>
      <c r="BF4" s="1002"/>
      <c r="BG4" s="1002"/>
      <c r="BH4" s="1002"/>
      <c r="BI4" s="1002"/>
      <c r="BJ4" s="1002"/>
      <c r="BK4" s="1002"/>
      <c r="BL4" s="1002"/>
      <c r="BM4" s="1002"/>
      <c r="BN4" s="1002"/>
      <c r="BO4" s="1002"/>
      <c r="BP4" s="1002"/>
      <c r="BQ4" s="1002"/>
      <c r="BR4" s="1002"/>
      <c r="BS4" s="1002"/>
      <c r="BT4" s="1002"/>
      <c r="BU4" s="1002"/>
      <c r="BV4" s="1002"/>
      <c r="BW4" s="1002"/>
      <c r="BX4" s="1002"/>
      <c r="BY4" s="1002"/>
      <c r="BZ4" s="1002"/>
      <c r="CA4" s="1002"/>
      <c r="CB4" s="1002"/>
      <c r="CC4" s="1002"/>
      <c r="CD4" s="1002"/>
      <c r="CE4" s="1002"/>
      <c r="CF4" s="1002"/>
      <c r="CG4" s="1002"/>
      <c r="CH4" s="1002"/>
      <c r="CI4" s="1002"/>
      <c r="CJ4" s="1002"/>
      <c r="CK4" s="1002"/>
      <c r="CL4" s="1002"/>
      <c r="CM4" s="1002"/>
      <c r="CN4" s="1002"/>
      <c r="CO4" s="1002"/>
      <c r="CP4" s="1002"/>
      <c r="CQ4" s="1002"/>
      <c r="CR4" s="1002"/>
      <c r="CS4" s="1002"/>
      <c r="CT4" s="1002"/>
      <c r="CU4" s="1002"/>
      <c r="CV4" s="1002"/>
      <c r="CW4" s="1002"/>
      <c r="CX4" s="1002"/>
      <c r="CY4" s="1002"/>
      <c r="CZ4" s="1002"/>
      <c r="DA4" s="1002"/>
      <c r="DB4" s="1002"/>
      <c r="DC4" s="1002"/>
      <c r="DD4" s="1002"/>
      <c r="DE4" s="1002"/>
      <c r="DF4" s="1002"/>
      <c r="DG4" s="1002"/>
      <c r="DH4" s="1002"/>
      <c r="DI4" s="1002"/>
      <c r="DJ4" s="1002"/>
      <c r="DK4" s="1002"/>
      <c r="DL4" s="1002"/>
      <c r="DM4" s="1002"/>
      <c r="DN4" s="1002"/>
      <c r="DO4" s="1002"/>
      <c r="DP4" s="1002"/>
      <c r="DQ4" s="1002"/>
      <c r="DR4" s="1002"/>
      <c r="DS4" s="1002"/>
      <c r="DT4" s="1002"/>
      <c r="DU4" s="1002"/>
      <c r="DV4" s="1002"/>
      <c r="DW4" s="1002"/>
      <c r="DX4" s="1002"/>
      <c r="DY4" s="1002"/>
      <c r="DZ4" s="1002"/>
      <c r="EA4" s="1002"/>
      <c r="EB4" s="1002"/>
      <c r="EC4" s="1002"/>
      <c r="ED4" s="1002"/>
      <c r="EE4" s="1002"/>
      <c r="EF4" s="1002"/>
      <c r="EG4" s="1002"/>
      <c r="EH4" s="1002"/>
      <c r="EI4" s="1002"/>
      <c r="EJ4" s="1002"/>
      <c r="EK4" s="1002"/>
      <c r="EL4" s="1002"/>
      <c r="EM4" s="1002"/>
      <c r="EN4" s="1002"/>
      <c r="EO4" s="1002"/>
      <c r="EP4" s="1002"/>
      <c r="EQ4" s="1002"/>
      <c r="ER4" s="1002"/>
      <c r="ES4" s="1002"/>
      <c r="ET4" s="1002"/>
      <c r="EU4" s="1002"/>
      <c r="EV4" s="1002"/>
      <c r="EW4" s="1002"/>
      <c r="EX4" s="1002"/>
      <c r="EY4" s="1002"/>
      <c r="EZ4" s="1002"/>
      <c r="FA4" s="1002"/>
      <c r="FB4" s="1002"/>
      <c r="FC4" s="1002"/>
      <c r="FD4" s="1002"/>
      <c r="FE4" s="1002"/>
      <c r="FF4" s="1002"/>
      <c r="FG4" s="1002"/>
      <c r="FH4" s="1002"/>
      <c r="FI4" s="1002"/>
      <c r="FJ4" s="1002"/>
      <c r="FK4" s="1002"/>
      <c r="FL4" s="1002"/>
      <c r="FM4" s="1002"/>
      <c r="FN4" s="1002"/>
      <c r="FO4" s="1002"/>
      <c r="FP4" s="1002"/>
      <c r="FQ4" s="1002"/>
      <c r="FR4" s="1002"/>
      <c r="FS4" s="1002"/>
      <c r="FT4" s="1002"/>
      <c r="FU4" s="1002"/>
      <c r="FV4" s="1002"/>
      <c r="FW4" s="1002"/>
      <c r="FX4" s="1002"/>
      <c r="FY4" s="1002"/>
      <c r="FZ4" s="1002"/>
      <c r="GA4" s="1002"/>
      <c r="GB4" s="1002"/>
      <c r="GC4" s="1002"/>
      <c r="GD4" s="1002"/>
      <c r="GE4" s="1002"/>
      <c r="GF4" s="1002"/>
      <c r="GG4" s="1002"/>
      <c r="GH4" s="1002"/>
      <c r="GI4" s="1002"/>
      <c r="GJ4" s="1002"/>
      <c r="GK4" s="1002"/>
      <c r="GL4" s="1002"/>
      <c r="GM4" s="1002"/>
      <c r="GN4" s="1002"/>
      <c r="GO4" s="1002"/>
      <c r="GP4" s="1002"/>
      <c r="GQ4" s="1002"/>
      <c r="GR4" s="1002"/>
      <c r="GS4" s="1002"/>
      <c r="GT4" s="1002"/>
      <c r="GU4" s="1002"/>
      <c r="GV4" s="1002"/>
      <c r="GW4" s="1002"/>
      <c r="GX4" s="1002"/>
      <c r="GY4" s="1002"/>
      <c r="GZ4" s="1002"/>
      <c r="HA4" s="1002"/>
      <c r="HB4" s="1002"/>
      <c r="HC4" s="1002"/>
      <c r="HD4" s="1002"/>
      <c r="HE4" s="1002"/>
      <c r="HF4" s="1002"/>
      <c r="HG4" s="1002"/>
      <c r="HH4" s="1002"/>
      <c r="HI4" s="1002"/>
      <c r="HJ4" s="1002"/>
      <c r="HK4" s="1002"/>
      <c r="HL4" s="1002"/>
      <c r="HM4" s="1002"/>
      <c r="HN4" s="1002"/>
      <c r="HO4" s="1002"/>
      <c r="HP4" s="1002"/>
      <c r="HQ4" s="1002"/>
      <c r="HR4" s="1002"/>
      <c r="HS4" s="1002"/>
      <c r="HT4" s="1002"/>
      <c r="HU4" s="1002"/>
      <c r="HV4" s="1002"/>
      <c r="HW4" s="1002"/>
      <c r="HX4" s="1002"/>
      <c r="HY4" s="1002"/>
      <c r="HZ4" s="1002"/>
      <c r="IA4" s="1002"/>
      <c r="IB4" s="1002"/>
      <c r="IC4" s="1002"/>
      <c r="ID4" s="1002"/>
      <c r="IE4" s="1002"/>
      <c r="IF4" s="1002"/>
      <c r="IG4" s="1002"/>
      <c r="IH4" s="1002"/>
      <c r="II4" s="1002"/>
      <c r="IJ4" s="1002"/>
      <c r="IK4" s="1002"/>
      <c r="IL4" s="1002"/>
      <c r="IM4" s="1002"/>
      <c r="IN4" s="1002"/>
      <c r="IO4" s="1002"/>
      <c r="IP4" s="1002"/>
      <c r="IQ4" s="1002"/>
      <c r="IR4" s="1002"/>
      <c r="IS4" s="1002"/>
      <c r="IT4" s="1002"/>
      <c r="IU4" s="1002"/>
      <c r="IV4" s="1002"/>
    </row>
    <row r="5" spans="1:256" ht="12.75" customHeight="1">
      <c r="A5" s="1738"/>
      <c r="B5" s="1739"/>
      <c r="C5" s="1741" t="s">
        <v>760</v>
      </c>
      <c r="D5" s="1741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1002"/>
      <c r="U5" s="1002"/>
      <c r="V5" s="1002"/>
      <c r="W5" s="1002"/>
      <c r="X5" s="1002"/>
      <c r="Y5" s="1002"/>
      <c r="Z5" s="1002"/>
      <c r="AA5" s="1002"/>
      <c r="AB5" s="1002"/>
      <c r="AC5" s="1002"/>
      <c r="AD5" s="1002"/>
      <c r="AE5" s="1002"/>
      <c r="AF5" s="1002"/>
      <c r="AG5" s="1002"/>
      <c r="AH5" s="1002"/>
      <c r="AI5" s="1002"/>
      <c r="AJ5" s="1002"/>
      <c r="AK5" s="1002"/>
      <c r="AL5" s="1002"/>
      <c r="AM5" s="1002"/>
      <c r="AN5" s="1002"/>
      <c r="AO5" s="1002"/>
      <c r="AP5" s="1002"/>
      <c r="AQ5" s="1002"/>
      <c r="AR5" s="1002"/>
      <c r="AS5" s="1002"/>
      <c r="AT5" s="1002"/>
      <c r="AU5" s="1002"/>
      <c r="AV5" s="1002"/>
      <c r="AW5" s="1002"/>
      <c r="AX5" s="1002"/>
      <c r="AY5" s="1002"/>
      <c r="AZ5" s="1002"/>
      <c r="BA5" s="1002"/>
      <c r="BB5" s="1002"/>
      <c r="BC5" s="1002"/>
      <c r="BD5" s="1002"/>
      <c r="BE5" s="1002"/>
      <c r="BF5" s="1002"/>
      <c r="BG5" s="1002"/>
      <c r="BH5" s="1002"/>
      <c r="BI5" s="1002"/>
      <c r="BJ5" s="1002"/>
      <c r="BK5" s="1002"/>
      <c r="BL5" s="1002"/>
      <c r="BM5" s="1002"/>
      <c r="BN5" s="1002"/>
      <c r="BO5" s="1002"/>
      <c r="BP5" s="1002"/>
      <c r="BQ5" s="1002"/>
      <c r="BR5" s="1002"/>
      <c r="BS5" s="1002"/>
      <c r="BT5" s="1002"/>
      <c r="BU5" s="1002"/>
      <c r="BV5" s="1002"/>
      <c r="BW5" s="1002"/>
      <c r="BX5" s="1002"/>
      <c r="BY5" s="1002"/>
      <c r="BZ5" s="1002"/>
      <c r="CA5" s="1002"/>
      <c r="CB5" s="1002"/>
      <c r="CC5" s="1002"/>
      <c r="CD5" s="1002"/>
      <c r="CE5" s="1002"/>
      <c r="CF5" s="1002"/>
      <c r="CG5" s="1002"/>
      <c r="CH5" s="1002"/>
      <c r="CI5" s="1002"/>
      <c r="CJ5" s="1002"/>
      <c r="CK5" s="1002"/>
      <c r="CL5" s="1002"/>
      <c r="CM5" s="1002"/>
      <c r="CN5" s="1002"/>
      <c r="CO5" s="1002"/>
      <c r="CP5" s="1002"/>
      <c r="CQ5" s="1002"/>
      <c r="CR5" s="1002"/>
      <c r="CS5" s="1002"/>
      <c r="CT5" s="1002"/>
      <c r="CU5" s="1002"/>
      <c r="CV5" s="1002"/>
      <c r="CW5" s="1002"/>
      <c r="CX5" s="1002"/>
      <c r="CY5" s="1002"/>
      <c r="CZ5" s="1002"/>
      <c r="DA5" s="1002"/>
      <c r="DB5" s="1002"/>
      <c r="DC5" s="1002"/>
      <c r="DD5" s="1002"/>
      <c r="DE5" s="1002"/>
      <c r="DF5" s="1002"/>
      <c r="DG5" s="1002"/>
      <c r="DH5" s="1002"/>
      <c r="DI5" s="1002"/>
      <c r="DJ5" s="1002"/>
      <c r="DK5" s="1002"/>
      <c r="DL5" s="1002"/>
      <c r="DM5" s="1002"/>
      <c r="DN5" s="1002"/>
      <c r="DO5" s="1002"/>
      <c r="DP5" s="1002"/>
      <c r="DQ5" s="1002"/>
      <c r="DR5" s="1002"/>
      <c r="DS5" s="1002"/>
      <c r="DT5" s="1002"/>
      <c r="DU5" s="1002"/>
      <c r="DV5" s="1002"/>
      <c r="DW5" s="1002"/>
      <c r="DX5" s="1002"/>
      <c r="DY5" s="1002"/>
      <c r="DZ5" s="1002"/>
      <c r="EA5" s="1002"/>
      <c r="EB5" s="1002"/>
      <c r="EC5" s="1002"/>
      <c r="ED5" s="1002"/>
      <c r="EE5" s="1002"/>
      <c r="EF5" s="1002"/>
      <c r="EG5" s="1002"/>
      <c r="EH5" s="1002"/>
      <c r="EI5" s="1002"/>
      <c r="EJ5" s="1002"/>
      <c r="EK5" s="1002"/>
      <c r="EL5" s="1002"/>
      <c r="EM5" s="1002"/>
      <c r="EN5" s="1002"/>
      <c r="EO5" s="1002"/>
      <c r="EP5" s="1002"/>
      <c r="EQ5" s="1002"/>
      <c r="ER5" s="1002"/>
      <c r="ES5" s="1002"/>
      <c r="ET5" s="1002"/>
      <c r="EU5" s="1002"/>
      <c r="EV5" s="1002"/>
      <c r="EW5" s="1002"/>
      <c r="EX5" s="1002"/>
      <c r="EY5" s="1002"/>
      <c r="EZ5" s="1002"/>
      <c r="FA5" s="1002"/>
      <c r="FB5" s="1002"/>
      <c r="FC5" s="1002"/>
      <c r="FD5" s="1002"/>
      <c r="FE5" s="1002"/>
      <c r="FF5" s="1002"/>
      <c r="FG5" s="1002"/>
      <c r="FH5" s="1002"/>
      <c r="FI5" s="1002"/>
      <c r="FJ5" s="1002"/>
      <c r="FK5" s="1002"/>
      <c r="FL5" s="1002"/>
      <c r="FM5" s="1002"/>
      <c r="FN5" s="1002"/>
      <c r="FO5" s="1002"/>
      <c r="FP5" s="1002"/>
      <c r="FQ5" s="1002"/>
      <c r="FR5" s="1002"/>
      <c r="FS5" s="1002"/>
      <c r="FT5" s="1002"/>
      <c r="FU5" s="1002"/>
      <c r="FV5" s="1002"/>
      <c r="FW5" s="1002"/>
      <c r="FX5" s="1002"/>
      <c r="FY5" s="1002"/>
      <c r="FZ5" s="1002"/>
      <c r="GA5" s="1002"/>
      <c r="GB5" s="1002"/>
      <c r="GC5" s="1002"/>
      <c r="GD5" s="1002"/>
      <c r="GE5" s="1002"/>
      <c r="GF5" s="1002"/>
      <c r="GG5" s="1002"/>
      <c r="GH5" s="1002"/>
      <c r="GI5" s="1002"/>
      <c r="GJ5" s="1002"/>
      <c r="GK5" s="1002"/>
      <c r="GL5" s="1002"/>
      <c r="GM5" s="1002"/>
      <c r="GN5" s="1002"/>
      <c r="GO5" s="1002"/>
      <c r="GP5" s="1002"/>
      <c r="GQ5" s="1002"/>
      <c r="GR5" s="1002"/>
      <c r="GS5" s="1002"/>
      <c r="GT5" s="1002"/>
      <c r="GU5" s="1002"/>
      <c r="GV5" s="1002"/>
      <c r="GW5" s="1002"/>
      <c r="GX5" s="1002"/>
      <c r="GY5" s="1002"/>
      <c r="GZ5" s="1002"/>
      <c r="HA5" s="1002"/>
      <c r="HB5" s="1002"/>
      <c r="HC5" s="1002"/>
      <c r="HD5" s="1002"/>
      <c r="HE5" s="1002"/>
      <c r="HF5" s="1002"/>
      <c r="HG5" s="1002"/>
      <c r="HH5" s="1002"/>
      <c r="HI5" s="1002"/>
      <c r="HJ5" s="1002"/>
      <c r="HK5" s="1002"/>
      <c r="HL5" s="1002"/>
      <c r="HM5" s="1002"/>
      <c r="HN5" s="1002"/>
      <c r="HO5" s="1002"/>
      <c r="HP5" s="1002"/>
      <c r="HQ5" s="1002"/>
      <c r="HR5" s="1002"/>
      <c r="HS5" s="1002"/>
      <c r="HT5" s="1002"/>
      <c r="HU5" s="1002"/>
      <c r="HV5" s="1002"/>
      <c r="HW5" s="1002"/>
      <c r="HX5" s="1002"/>
      <c r="HY5" s="1002"/>
      <c r="HZ5" s="1002"/>
      <c r="IA5" s="1002"/>
      <c r="IB5" s="1002"/>
      <c r="IC5" s="1002"/>
      <c r="ID5" s="1002"/>
      <c r="IE5" s="1002"/>
      <c r="IF5" s="1002"/>
      <c r="IG5" s="1002"/>
      <c r="IH5" s="1002"/>
      <c r="II5" s="1002"/>
      <c r="IJ5" s="1002"/>
      <c r="IK5" s="1002"/>
      <c r="IL5" s="1002"/>
      <c r="IM5" s="1002"/>
      <c r="IN5" s="1002"/>
      <c r="IO5" s="1002"/>
      <c r="IP5" s="1002"/>
      <c r="IQ5" s="1002"/>
      <c r="IR5" s="1002"/>
      <c r="IS5" s="1002"/>
      <c r="IT5" s="1002"/>
      <c r="IU5" s="1002"/>
      <c r="IV5" s="1002"/>
    </row>
    <row r="6" spans="1:4" s="1062" customFormat="1" ht="16.5" thickBot="1">
      <c r="A6" s="1093" t="s">
        <v>761</v>
      </c>
      <c r="B6" s="1094" t="s">
        <v>14</v>
      </c>
      <c r="C6" s="1094" t="s">
        <v>560</v>
      </c>
      <c r="D6" s="1094" t="s">
        <v>561</v>
      </c>
    </row>
    <row r="7" spans="1:4" s="1065" customFormat="1" ht="15.75">
      <c r="A7" s="1095" t="s">
        <v>762</v>
      </c>
      <c r="B7" s="1096" t="s">
        <v>763</v>
      </c>
      <c r="C7" s="1097">
        <f>SUM(C8:C11)</f>
        <v>545525</v>
      </c>
      <c r="D7" s="1097">
        <v>0</v>
      </c>
    </row>
    <row r="8" spans="1:4" s="1065" customFormat="1" ht="15.75">
      <c r="A8" s="1098" t="s">
        <v>764</v>
      </c>
      <c r="B8" s="1099" t="s">
        <v>765</v>
      </c>
      <c r="C8" s="1100"/>
      <c r="D8" s="1100"/>
    </row>
    <row r="9" spans="1:4" s="1065" customFormat="1" ht="47.25">
      <c r="A9" s="1098" t="s">
        <v>766</v>
      </c>
      <c r="B9" s="1099" t="s">
        <v>767</v>
      </c>
      <c r="C9" s="1100"/>
      <c r="D9" s="1100"/>
    </row>
    <row r="10" spans="1:4" s="1065" customFormat="1" ht="15.75">
      <c r="A10" s="1098" t="s">
        <v>768</v>
      </c>
      <c r="B10" s="1099" t="s">
        <v>769</v>
      </c>
      <c r="C10" s="1100">
        <v>298500</v>
      </c>
      <c r="D10" s="1100"/>
    </row>
    <row r="11" spans="1:4" s="1065" customFormat="1" ht="15.75">
      <c r="A11" s="1098" t="s">
        <v>770</v>
      </c>
      <c r="B11" s="1099" t="s">
        <v>771</v>
      </c>
      <c r="C11" s="1100">
        <v>247025</v>
      </c>
      <c r="D11" s="1100"/>
    </row>
    <row r="12" spans="1:4" s="1065" customFormat="1" ht="15.75">
      <c r="A12" s="1101" t="s">
        <v>772</v>
      </c>
      <c r="B12" s="1102" t="s">
        <v>773</v>
      </c>
      <c r="C12" s="1103">
        <f>SUM(C13+C18+C23+C28+C33)</f>
        <v>37352161</v>
      </c>
      <c r="D12" s="1103">
        <f>SUM(D13+D18+D23+D28+D33)</f>
        <v>1708539</v>
      </c>
    </row>
    <row r="13" spans="1:4" s="1065" customFormat="1" ht="31.5">
      <c r="A13" s="1101" t="s">
        <v>774</v>
      </c>
      <c r="B13" s="1102" t="s">
        <v>775</v>
      </c>
      <c r="C13" s="1103">
        <f>SUM(C14:C17)</f>
        <v>0</v>
      </c>
      <c r="D13" s="1103">
        <f>SUM(D14:D17)</f>
        <v>0</v>
      </c>
    </row>
    <row r="14" spans="1:4" s="1065" customFormat="1" ht="31.5">
      <c r="A14" s="1098" t="s">
        <v>776</v>
      </c>
      <c r="B14" s="1099" t="s">
        <v>777</v>
      </c>
      <c r="C14" s="1100"/>
      <c r="D14" s="1100"/>
    </row>
    <row r="15" spans="1:4" s="1065" customFormat="1" ht="45.75" customHeight="1">
      <c r="A15" s="1098" t="s">
        <v>778</v>
      </c>
      <c r="B15" s="1099" t="s">
        <v>779</v>
      </c>
      <c r="C15" s="1100"/>
      <c r="D15" s="1100"/>
    </row>
    <row r="16" spans="1:4" s="1065" customFormat="1" ht="31.5">
      <c r="A16" s="1098" t="s">
        <v>780</v>
      </c>
      <c r="B16" s="1099" t="s">
        <v>396</v>
      </c>
      <c r="C16" s="1100"/>
      <c r="D16" s="1100"/>
    </row>
    <row r="17" spans="1:4" s="1065" customFormat="1" ht="15.75">
      <c r="A17" s="1098" t="s">
        <v>781</v>
      </c>
      <c r="B17" s="1099" t="s">
        <v>398</v>
      </c>
      <c r="C17" s="1100"/>
      <c r="D17" s="1100"/>
    </row>
    <row r="18" spans="1:4" s="1065" customFormat="1" ht="31.5">
      <c r="A18" s="1101" t="s">
        <v>782</v>
      </c>
      <c r="B18" s="1102" t="s">
        <v>399</v>
      </c>
      <c r="C18" s="1104">
        <f>SUM(C19:C22)</f>
        <v>37352161</v>
      </c>
      <c r="D18" s="1104">
        <f>SUM(D19:D22)</f>
        <v>1708539</v>
      </c>
    </row>
    <row r="19" spans="1:4" s="1065" customFormat="1" ht="31.5">
      <c r="A19" s="1098" t="s">
        <v>783</v>
      </c>
      <c r="B19" s="1099" t="s">
        <v>400</v>
      </c>
      <c r="C19" s="1100"/>
      <c r="D19" s="1100"/>
    </row>
    <row r="20" spans="1:4" s="1065" customFormat="1" ht="47.25">
      <c r="A20" s="1098" t="s">
        <v>784</v>
      </c>
      <c r="B20" s="1099" t="s">
        <v>401</v>
      </c>
      <c r="C20" s="1100"/>
      <c r="D20" s="1100"/>
    </row>
    <row r="21" spans="1:4" s="1065" customFormat="1" ht="31.5">
      <c r="A21" s="1098" t="s">
        <v>785</v>
      </c>
      <c r="B21" s="1099" t="s">
        <v>402</v>
      </c>
      <c r="C21" s="1100"/>
      <c r="D21" s="1100"/>
    </row>
    <row r="22" spans="1:4" s="1065" customFormat="1" ht="15.75">
      <c r="A22" s="1098" t="s">
        <v>786</v>
      </c>
      <c r="B22" s="1099" t="s">
        <v>574</v>
      </c>
      <c r="C22" s="1100">
        <v>37352161</v>
      </c>
      <c r="D22" s="1100">
        <f>+C22-35643622</f>
        <v>1708539</v>
      </c>
    </row>
    <row r="23" spans="1:4" s="1065" customFormat="1" ht="15.75">
      <c r="A23" s="1101" t="s">
        <v>787</v>
      </c>
      <c r="B23" s="1102" t="s">
        <v>575</v>
      </c>
      <c r="C23" s="1105"/>
      <c r="D23" s="1105"/>
    </row>
    <row r="24" spans="1:4" s="1065" customFormat="1" ht="15.75">
      <c r="A24" s="1098" t="s">
        <v>788</v>
      </c>
      <c r="B24" s="1099" t="s">
        <v>577</v>
      </c>
      <c r="C24" s="1100"/>
      <c r="D24" s="1100"/>
    </row>
    <row r="25" spans="1:4" s="1065" customFormat="1" ht="31.5">
      <c r="A25" s="1098" t="s">
        <v>789</v>
      </c>
      <c r="B25" s="1099" t="s">
        <v>700</v>
      </c>
      <c r="C25" s="1100"/>
      <c r="D25" s="1100"/>
    </row>
    <row r="26" spans="1:4" s="1065" customFormat="1" ht="15.75">
      <c r="A26" s="1098" t="s">
        <v>790</v>
      </c>
      <c r="B26" s="1099" t="s">
        <v>701</v>
      </c>
      <c r="C26" s="1100"/>
      <c r="D26" s="1100"/>
    </row>
    <row r="27" spans="1:4" s="1065" customFormat="1" ht="15.75">
      <c r="A27" s="1098" t="s">
        <v>791</v>
      </c>
      <c r="B27" s="1099" t="s">
        <v>702</v>
      </c>
      <c r="C27" s="1100"/>
      <c r="D27" s="1100"/>
    </row>
    <row r="28" spans="1:4" s="1065" customFormat="1" ht="15.75">
      <c r="A28" s="1101" t="s">
        <v>792</v>
      </c>
      <c r="B28" s="1102" t="s">
        <v>728</v>
      </c>
      <c r="C28" s="1104">
        <f>SUM(C29:C32)</f>
        <v>0</v>
      </c>
      <c r="D28" s="1104">
        <f>SUM(D29:D32)</f>
        <v>0</v>
      </c>
    </row>
    <row r="29" spans="1:4" s="1065" customFormat="1" ht="15.75">
      <c r="A29" s="1098" t="s">
        <v>793</v>
      </c>
      <c r="B29" s="1099" t="s">
        <v>729</v>
      </c>
      <c r="C29" s="1100"/>
      <c r="D29" s="1100"/>
    </row>
    <row r="30" spans="1:4" s="1065" customFormat="1" ht="31.5">
      <c r="A30" s="1098" t="s">
        <v>794</v>
      </c>
      <c r="B30" s="1099" t="s">
        <v>730</v>
      </c>
      <c r="C30" s="1100"/>
      <c r="D30" s="1100"/>
    </row>
    <row r="31" spans="1:4" s="1065" customFormat="1" ht="15.75">
      <c r="A31" s="1098" t="s">
        <v>795</v>
      </c>
      <c r="B31" s="1099" t="s">
        <v>731</v>
      </c>
      <c r="C31" s="1100"/>
      <c r="D31" s="1100"/>
    </row>
    <row r="32" spans="1:4" s="1065" customFormat="1" ht="15.75">
      <c r="A32" s="1098" t="s">
        <v>796</v>
      </c>
      <c r="B32" s="1099" t="s">
        <v>732</v>
      </c>
      <c r="C32" s="1100"/>
      <c r="D32" s="1100"/>
    </row>
    <row r="33" spans="1:4" s="1065" customFormat="1" ht="15.75">
      <c r="A33" s="1101" t="s">
        <v>797</v>
      </c>
      <c r="B33" s="1102" t="s">
        <v>733</v>
      </c>
      <c r="C33" s="1105"/>
      <c r="D33" s="1105"/>
    </row>
    <row r="34" spans="1:4" s="1065" customFormat="1" ht="15.75">
      <c r="A34" s="1098" t="s">
        <v>798</v>
      </c>
      <c r="B34" s="1099" t="s">
        <v>734</v>
      </c>
      <c r="C34" s="1100"/>
      <c r="D34" s="1100"/>
    </row>
    <row r="35" spans="1:4" s="1065" customFormat="1" ht="47.25">
      <c r="A35" s="1098" t="s">
        <v>799</v>
      </c>
      <c r="B35" s="1099" t="s">
        <v>735</v>
      </c>
      <c r="C35" s="1100"/>
      <c r="D35" s="1100"/>
    </row>
    <row r="36" spans="1:4" s="1065" customFormat="1" ht="31.5">
      <c r="A36" s="1098" t="s">
        <v>800</v>
      </c>
      <c r="B36" s="1099" t="s">
        <v>736</v>
      </c>
      <c r="C36" s="1100"/>
      <c r="D36" s="1100"/>
    </row>
    <row r="37" spans="1:4" s="1065" customFormat="1" ht="15.75">
      <c r="A37" s="1098" t="s">
        <v>801</v>
      </c>
      <c r="B37" s="1099" t="s">
        <v>737</v>
      </c>
      <c r="C37" s="1100"/>
      <c r="D37" s="1100"/>
    </row>
    <row r="38" spans="1:4" s="1065" customFormat="1" ht="15.75">
      <c r="A38" s="1101" t="s">
        <v>802</v>
      </c>
      <c r="B38" s="1102" t="s">
        <v>738</v>
      </c>
      <c r="C38" s="1104">
        <f>SUM(C39+C44+C49)</f>
        <v>0</v>
      </c>
      <c r="D38" s="1104">
        <f>SUM(D39+D44+D49)</f>
        <v>0</v>
      </c>
    </row>
    <row r="39" spans="1:4" s="1065" customFormat="1" ht="15.75">
      <c r="A39" s="1101" t="s">
        <v>803</v>
      </c>
      <c r="B39" s="1102" t="s">
        <v>739</v>
      </c>
      <c r="C39" s="1104">
        <f>SUM(C40:C43)</f>
        <v>0</v>
      </c>
      <c r="D39" s="1104">
        <f>SUM(D40:D43)</f>
        <v>0</v>
      </c>
    </row>
    <row r="40" spans="1:4" s="1065" customFormat="1" ht="15.75">
      <c r="A40" s="1098" t="s">
        <v>804</v>
      </c>
      <c r="B40" s="1099" t="s">
        <v>805</v>
      </c>
      <c r="C40" s="1100"/>
      <c r="D40" s="1100"/>
    </row>
    <row r="41" spans="1:4" s="1065" customFormat="1" ht="31.5">
      <c r="A41" s="1098" t="s">
        <v>806</v>
      </c>
      <c r="B41" s="1099" t="s">
        <v>807</v>
      </c>
      <c r="C41" s="1100"/>
      <c r="D41" s="1100"/>
    </row>
    <row r="42" spans="1:4" s="1065" customFormat="1" ht="15.75">
      <c r="A42" s="1098" t="s">
        <v>808</v>
      </c>
      <c r="B42" s="1099" t="s">
        <v>809</v>
      </c>
      <c r="C42" s="1100"/>
      <c r="D42" s="1100"/>
    </row>
    <row r="43" spans="1:4" s="1065" customFormat="1" ht="15.75">
      <c r="A43" s="1098" t="s">
        <v>810</v>
      </c>
      <c r="B43" s="1099" t="s">
        <v>811</v>
      </c>
      <c r="C43" s="1100"/>
      <c r="D43" s="1100"/>
    </row>
    <row r="44" spans="1:4" s="1065" customFormat="1" ht="31.5">
      <c r="A44" s="1101" t="s">
        <v>812</v>
      </c>
      <c r="B44" s="1102" t="s">
        <v>813</v>
      </c>
      <c r="C44" s="1105"/>
      <c r="D44" s="1105"/>
    </row>
    <row r="45" spans="1:4" s="1065" customFormat="1" ht="31.5">
      <c r="A45" s="1098" t="s">
        <v>814</v>
      </c>
      <c r="B45" s="1099" t="s">
        <v>815</v>
      </c>
      <c r="C45" s="1100"/>
      <c r="D45" s="1100"/>
    </row>
    <row r="46" spans="1:4" s="1065" customFormat="1" ht="47.25">
      <c r="A46" s="1098" t="s">
        <v>816</v>
      </c>
      <c r="B46" s="1099" t="s">
        <v>817</v>
      </c>
      <c r="C46" s="1100"/>
      <c r="D46" s="1100"/>
    </row>
    <row r="47" spans="1:4" s="1065" customFormat="1" ht="31.5">
      <c r="A47" s="1098" t="s">
        <v>818</v>
      </c>
      <c r="B47" s="1099" t="s">
        <v>819</v>
      </c>
      <c r="C47" s="1100"/>
      <c r="D47" s="1100"/>
    </row>
    <row r="48" spans="1:4" s="1065" customFormat="1" ht="15.75">
      <c r="A48" s="1098" t="s">
        <v>820</v>
      </c>
      <c r="B48" s="1099" t="s">
        <v>821</v>
      </c>
      <c r="C48" s="1100"/>
      <c r="D48" s="1100"/>
    </row>
    <row r="49" spans="1:4" s="1065" customFormat="1" ht="31.5">
      <c r="A49" s="1101" t="s">
        <v>822</v>
      </c>
      <c r="B49" s="1102" t="s">
        <v>823</v>
      </c>
      <c r="C49" s="1105"/>
      <c r="D49" s="1105"/>
    </row>
    <row r="50" spans="1:4" s="1065" customFormat="1" ht="31.5">
      <c r="A50" s="1098" t="s">
        <v>824</v>
      </c>
      <c r="B50" s="1099" t="s">
        <v>825</v>
      </c>
      <c r="C50" s="1100"/>
      <c r="D50" s="1100"/>
    </row>
    <row r="51" spans="1:4" s="1065" customFormat="1" ht="47.25">
      <c r="A51" s="1098" t="s">
        <v>826</v>
      </c>
      <c r="B51" s="1099" t="s">
        <v>827</v>
      </c>
      <c r="C51" s="1100"/>
      <c r="D51" s="1100"/>
    </row>
    <row r="52" spans="1:4" s="1065" customFormat="1" ht="31.5">
      <c r="A52" s="1098" t="s">
        <v>828</v>
      </c>
      <c r="B52" s="1099" t="s">
        <v>829</v>
      </c>
      <c r="C52" s="1100"/>
      <c r="D52" s="1100"/>
    </row>
    <row r="53" spans="1:4" s="1065" customFormat="1" ht="15.75">
      <c r="A53" s="1098" t="s">
        <v>830</v>
      </c>
      <c r="B53" s="1099" t="s">
        <v>831</v>
      </c>
      <c r="C53" s="1100"/>
      <c r="D53" s="1100"/>
    </row>
    <row r="54" spans="1:4" s="1065" customFormat="1" ht="15.75">
      <c r="A54" s="1101" t="s">
        <v>832</v>
      </c>
      <c r="B54" s="1099" t="s">
        <v>833</v>
      </c>
      <c r="C54" s="1100"/>
      <c r="D54" s="1100"/>
    </row>
    <row r="55" spans="1:4" ht="47.25">
      <c r="A55" s="1101" t="s">
        <v>834</v>
      </c>
      <c r="B55" s="1102" t="s">
        <v>835</v>
      </c>
      <c r="C55" s="1104">
        <f>SUM(C7+C12+C38+C54)</f>
        <v>37897686</v>
      </c>
      <c r="D55" s="1104">
        <f>SUM(D7+D12+D38+D54)</f>
        <v>1708539</v>
      </c>
    </row>
    <row r="56" spans="1:4" ht="15.75">
      <c r="A56" s="1101" t="s">
        <v>836</v>
      </c>
      <c r="B56" s="1099" t="s">
        <v>837</v>
      </c>
      <c r="C56" s="1106">
        <v>291518</v>
      </c>
      <c r="D56" s="1106">
        <f>+C56</f>
        <v>291518</v>
      </c>
    </row>
    <row r="57" spans="1:4" ht="15.75">
      <c r="A57" s="1101" t="s">
        <v>838</v>
      </c>
      <c r="B57" s="1099" t="s">
        <v>839</v>
      </c>
      <c r="C57" s="1100"/>
      <c r="D57" s="1100"/>
    </row>
    <row r="58" spans="1:4" ht="31.5">
      <c r="A58" s="1101" t="s">
        <v>840</v>
      </c>
      <c r="B58" s="1102" t="s">
        <v>841</v>
      </c>
      <c r="C58" s="1104"/>
      <c r="D58" s="1104"/>
    </row>
    <row r="59" spans="1:4" ht="15.75">
      <c r="A59" s="1101" t="s">
        <v>842</v>
      </c>
      <c r="B59" s="1099" t="s">
        <v>843</v>
      </c>
      <c r="C59" s="1107"/>
      <c r="D59" s="1106"/>
    </row>
    <row r="60" spans="1:4" ht="15.75">
      <c r="A60" s="1101" t="s">
        <v>844</v>
      </c>
      <c r="B60" s="1099" t="s">
        <v>845</v>
      </c>
      <c r="C60" s="1107"/>
      <c r="D60" s="1106"/>
    </row>
    <row r="61" spans="1:4" ht="15.75">
      <c r="A61" s="1101" t="s">
        <v>846</v>
      </c>
      <c r="B61" s="1099" t="s">
        <v>847</v>
      </c>
      <c r="C61" s="1107"/>
      <c r="D61" s="1106">
        <v>2616652</v>
      </c>
    </row>
    <row r="62" spans="1:4" ht="15.75">
      <c r="A62" s="1101" t="s">
        <v>848</v>
      </c>
      <c r="B62" s="1099" t="s">
        <v>849</v>
      </c>
      <c r="C62" s="1107"/>
      <c r="D62" s="1106"/>
    </row>
    <row r="63" spans="1:4" ht="15.75">
      <c r="A63" s="1101" t="s">
        <v>850</v>
      </c>
      <c r="B63" s="1099" t="s">
        <v>851</v>
      </c>
      <c r="C63" s="1107"/>
      <c r="D63" s="1106"/>
    </row>
    <row r="64" spans="1:4" ht="15.75">
      <c r="A64" s="1101" t="s">
        <v>852</v>
      </c>
      <c r="B64" s="1102" t="s">
        <v>853</v>
      </c>
      <c r="C64" s="1108"/>
      <c r="D64" s="1104">
        <f>SUM(D59:D63)</f>
        <v>2616652</v>
      </c>
    </row>
    <row r="65" spans="1:4" ht="15.75">
      <c r="A65" s="1101" t="s">
        <v>854</v>
      </c>
      <c r="B65" s="1099" t="s">
        <v>855</v>
      </c>
      <c r="C65" s="1107"/>
      <c r="D65" s="1106">
        <v>75500</v>
      </c>
    </row>
    <row r="66" spans="1:4" ht="15.75">
      <c r="A66" s="1101" t="s">
        <v>856</v>
      </c>
      <c r="B66" s="1099" t="s">
        <v>857</v>
      </c>
      <c r="C66" s="1107"/>
      <c r="D66" s="1106"/>
    </row>
    <row r="67" spans="1:4" ht="15.75">
      <c r="A67" s="1101" t="s">
        <v>858</v>
      </c>
      <c r="B67" s="1099" t="s">
        <v>859</v>
      </c>
      <c r="C67" s="1107"/>
      <c r="D67" s="1106">
        <v>1888966</v>
      </c>
    </row>
    <row r="68" spans="1:4" ht="15.75">
      <c r="A68" s="1101" t="s">
        <v>860</v>
      </c>
      <c r="B68" s="1102" t="s">
        <v>861</v>
      </c>
      <c r="C68" s="1108"/>
      <c r="D68" s="1104">
        <f>SUM(D65:D67)</f>
        <v>1964466</v>
      </c>
    </row>
    <row r="69" spans="1:4" ht="15.75">
      <c r="A69" s="1101" t="s">
        <v>862</v>
      </c>
      <c r="B69" s="1099" t="s">
        <v>863</v>
      </c>
      <c r="C69" s="1107"/>
      <c r="D69" s="1106"/>
    </row>
    <row r="70" spans="1:4" ht="47.25">
      <c r="A70" s="1101" t="s">
        <v>864</v>
      </c>
      <c r="B70" s="1099" t="s">
        <v>865</v>
      </c>
      <c r="C70" s="1107"/>
      <c r="D70" s="1106"/>
    </row>
    <row r="71" spans="1:4" ht="31.5">
      <c r="A71" s="1101" t="s">
        <v>866</v>
      </c>
      <c r="B71" s="1102" t="s">
        <v>867</v>
      </c>
      <c r="C71" s="1108"/>
      <c r="D71" s="1104">
        <v>265390</v>
      </c>
    </row>
    <row r="72" spans="1:4" ht="15.75">
      <c r="A72" s="1101" t="s">
        <v>868</v>
      </c>
      <c r="B72" s="1102" t="s">
        <v>869</v>
      </c>
      <c r="C72" s="1107"/>
      <c r="D72" s="1106"/>
    </row>
    <row r="73" spans="1:4" ht="16.5" thickBot="1">
      <c r="A73" s="1109" t="s">
        <v>870</v>
      </c>
      <c r="B73" s="1102" t="s">
        <v>871</v>
      </c>
      <c r="C73" s="1110"/>
      <c r="D73" s="1110">
        <f>SUM(D68+D64+D58+D55+D71+D72+D56)</f>
        <v>6846565</v>
      </c>
    </row>
    <row r="75" ht="16.5" thickBot="1"/>
    <row r="76" spans="1:3" ht="15.75">
      <c r="A76" s="1724" t="s">
        <v>872</v>
      </c>
      <c r="B76" s="1726" t="s">
        <v>5</v>
      </c>
      <c r="C76" s="1728" t="s">
        <v>873</v>
      </c>
    </row>
    <row r="77" spans="1:3" ht="15.75">
      <c r="A77" s="1725"/>
      <c r="B77" s="1727"/>
      <c r="C77" s="1729"/>
    </row>
    <row r="78" spans="1:3" ht="16.5" thickBot="1">
      <c r="A78" s="1078" t="s">
        <v>559</v>
      </c>
      <c r="B78" s="1079" t="s">
        <v>14</v>
      </c>
      <c r="C78" s="1080" t="s">
        <v>560</v>
      </c>
    </row>
    <row r="79" spans="1:3" ht="15.75">
      <c r="A79" s="1081" t="s">
        <v>874</v>
      </c>
      <c r="B79" s="1082" t="s">
        <v>763</v>
      </c>
      <c r="C79" s="1083">
        <v>0</v>
      </c>
    </row>
    <row r="80" spans="1:3" ht="15.75">
      <c r="A80" s="1081" t="s">
        <v>875</v>
      </c>
      <c r="B80" s="1084" t="s">
        <v>765</v>
      </c>
      <c r="C80" s="1083">
        <v>0</v>
      </c>
    </row>
    <row r="81" spans="1:3" ht="15.75">
      <c r="A81" s="1081" t="s">
        <v>876</v>
      </c>
      <c r="B81" s="1084" t="s">
        <v>767</v>
      </c>
      <c r="C81" s="1083">
        <v>17445000</v>
      </c>
    </row>
    <row r="82" spans="1:3" ht="15.75">
      <c r="A82" s="1081" t="s">
        <v>877</v>
      </c>
      <c r="B82" s="1084" t="s">
        <v>769</v>
      </c>
      <c r="C82" s="1083">
        <v>-18279458</v>
      </c>
    </row>
    <row r="83" spans="1:3" ht="15.75">
      <c r="A83" s="1081" t="s">
        <v>878</v>
      </c>
      <c r="B83" s="1084" t="s">
        <v>771</v>
      </c>
      <c r="C83" s="1083">
        <v>0</v>
      </c>
    </row>
    <row r="84" spans="1:3" ht="15.75">
      <c r="A84" s="1081" t="s">
        <v>879</v>
      </c>
      <c r="B84" s="1084" t="s">
        <v>773</v>
      </c>
      <c r="C84" s="1083">
        <v>63342</v>
      </c>
    </row>
    <row r="85" spans="1:3" ht="15.75">
      <c r="A85" s="1081" t="s">
        <v>880</v>
      </c>
      <c r="B85" s="1086" t="s">
        <v>775</v>
      </c>
      <c r="C85" s="1087">
        <f>SUM(C79:C84)</f>
        <v>-771116</v>
      </c>
    </row>
    <row r="86" spans="1:3" ht="15.75">
      <c r="A86" s="1081" t="s">
        <v>881</v>
      </c>
      <c r="B86" s="1084" t="s">
        <v>777</v>
      </c>
      <c r="C86" s="1088"/>
    </row>
    <row r="87" spans="1:3" ht="15.75">
      <c r="A87" s="1081" t="s">
        <v>882</v>
      </c>
      <c r="B87" s="1084" t="s">
        <v>779</v>
      </c>
      <c r="C87" s="1085">
        <v>0</v>
      </c>
    </row>
    <row r="88" spans="1:3" ht="15.75">
      <c r="A88" s="1081" t="s">
        <v>883</v>
      </c>
      <c r="B88" s="1084" t="s">
        <v>396</v>
      </c>
      <c r="C88" s="1085"/>
    </row>
    <row r="89" spans="1:3" ht="15.75">
      <c r="A89" s="1081" t="s">
        <v>884</v>
      </c>
      <c r="B89" s="1086" t="s">
        <v>398</v>
      </c>
      <c r="C89" s="1087">
        <f>C86+C87+C88</f>
        <v>0</v>
      </c>
    </row>
    <row r="90" spans="1:3" ht="15.75">
      <c r="A90" s="1081" t="s">
        <v>885</v>
      </c>
      <c r="B90" s="1086" t="s">
        <v>399</v>
      </c>
      <c r="C90" s="1085"/>
    </row>
    <row r="91" spans="1:3" ht="15.75">
      <c r="A91" s="1081" t="s">
        <v>886</v>
      </c>
      <c r="B91" s="1086" t="s">
        <v>400</v>
      </c>
      <c r="C91" s="1089">
        <v>7617681</v>
      </c>
    </row>
    <row r="92" spans="1:3" ht="16.5" thickBot="1">
      <c r="A92" s="1090" t="s">
        <v>887</v>
      </c>
      <c r="B92" s="1091" t="s">
        <v>401</v>
      </c>
      <c r="C92" s="1092">
        <f>C85+C89+C90+C91</f>
        <v>6846565</v>
      </c>
    </row>
  </sheetData>
  <sheetProtection selectLockedCells="1" selectUnlockedCells="1"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875" right="0.7875" top="1.0527777777777778" bottom="1.0527777777777778" header="0.7875" footer="0.7875"/>
  <pageSetup horizontalDpi="300" verticalDpi="300" orientation="portrait" paperSize="9" scale="92" r:id="rId1"/>
  <headerFooter alignWithMargins="0">
    <oddHeader>&amp;R13.c.számú melléklet</oddHeader>
    <oddFooter>&amp;C&amp;"Times New Roman,Normál"&amp;12Oldal &amp;P</oddFooter>
  </headerFooter>
  <rowBreaks count="1" manualBreakCount="1">
    <brk id="32" max="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7"/>
  </sheetPr>
  <dimension ref="A1:F38"/>
  <sheetViews>
    <sheetView view="pageBreakPreview" zoomScale="60" zoomScaleNormal="71" workbookViewId="0" topLeftCell="A22">
      <selection activeCell="D38" sqref="D38"/>
    </sheetView>
  </sheetViews>
  <sheetFormatPr defaultColWidth="10.7109375" defaultRowHeight="12.75"/>
  <cols>
    <col min="1" max="1" width="67.7109375" style="961" customWidth="1"/>
    <col min="2" max="2" width="11.421875" style="961" customWidth="1"/>
    <col min="3" max="3" width="12.7109375" style="961" customWidth="1"/>
    <col min="4" max="4" width="22.421875" style="961" customWidth="1"/>
    <col min="5" max="5" width="18.57421875" style="961" customWidth="1"/>
    <col min="6" max="16384" width="10.7109375" style="961" customWidth="1"/>
  </cols>
  <sheetData>
    <row r="1" spans="1:6" ht="48" customHeight="1">
      <c r="A1" s="1742" t="s">
        <v>704</v>
      </c>
      <c r="B1" s="1742"/>
      <c r="C1" s="1742"/>
      <c r="D1" s="1742"/>
      <c r="E1" s="1742"/>
      <c r="F1" s="960"/>
    </row>
    <row r="2" spans="1:6" ht="21" thickBot="1">
      <c r="A2" s="962" t="s">
        <v>705</v>
      </c>
      <c r="B2" s="960"/>
      <c r="C2" s="960"/>
      <c r="D2" s="1743" t="s">
        <v>706</v>
      </c>
      <c r="E2" s="1743"/>
      <c r="F2" s="960"/>
    </row>
    <row r="3" spans="1:6" ht="54" customHeight="1" thickBot="1">
      <c r="A3" s="963" t="s">
        <v>3</v>
      </c>
      <c r="B3" s="964" t="s">
        <v>5</v>
      </c>
      <c r="C3" s="965" t="s">
        <v>707</v>
      </c>
      <c r="D3" s="966" t="s">
        <v>708</v>
      </c>
      <c r="E3" s="967" t="s">
        <v>709</v>
      </c>
      <c r="F3" s="960"/>
    </row>
    <row r="4" spans="1:6" ht="21" thickBot="1">
      <c r="A4" s="968" t="s">
        <v>559</v>
      </c>
      <c r="B4" s="969" t="s">
        <v>14</v>
      </c>
      <c r="C4" s="969" t="s">
        <v>560</v>
      </c>
      <c r="D4" s="970" t="s">
        <v>561</v>
      </c>
      <c r="E4" s="971"/>
      <c r="F4" s="960"/>
    </row>
    <row r="5" spans="1:6" ht="15.75" customHeight="1">
      <c r="A5" s="972" t="s">
        <v>710</v>
      </c>
      <c r="B5" s="973" t="s">
        <v>26</v>
      </c>
      <c r="C5" s="974">
        <v>188</v>
      </c>
      <c r="D5" s="975">
        <v>113262727</v>
      </c>
      <c r="E5" s="976"/>
      <c r="F5" s="960"/>
    </row>
    <row r="6" spans="1:6" ht="15.75" customHeight="1">
      <c r="A6" s="972" t="s">
        <v>711</v>
      </c>
      <c r="B6" s="977" t="s">
        <v>27</v>
      </c>
      <c r="C6" s="978"/>
      <c r="D6" s="979"/>
      <c r="E6" s="980"/>
      <c r="F6" s="960"/>
    </row>
    <row r="7" spans="1:6" ht="15.75" customHeight="1">
      <c r="A7" s="972" t="s">
        <v>712</v>
      </c>
      <c r="B7" s="973" t="s">
        <v>9</v>
      </c>
      <c r="C7" s="978">
        <v>73</v>
      </c>
      <c r="D7" s="975">
        <v>12737124</v>
      </c>
      <c r="E7" s="980"/>
      <c r="F7" s="960"/>
    </row>
    <row r="8" spans="1:6" ht="15.75" customHeight="1" thickBot="1">
      <c r="A8" s="981" t="s">
        <v>713</v>
      </c>
      <c r="B8" s="982" t="s">
        <v>10</v>
      </c>
      <c r="C8" s="983"/>
      <c r="D8" s="984"/>
      <c r="E8" s="985"/>
      <c r="F8" s="960"/>
    </row>
    <row r="9" spans="1:6" ht="15.75" customHeight="1" thickBot="1">
      <c r="A9" s="986" t="s">
        <v>714</v>
      </c>
      <c r="B9" s="987" t="s">
        <v>11</v>
      </c>
      <c r="C9" s="988">
        <f>SUM(C10:C13)</f>
        <v>4</v>
      </c>
      <c r="D9" s="988">
        <f>SUM(D10:D13)</f>
        <v>54328871</v>
      </c>
      <c r="E9" s="989">
        <f>SUM(E5:E8)</f>
        <v>0</v>
      </c>
      <c r="F9" s="960"/>
    </row>
    <row r="10" spans="1:6" ht="15.75" customHeight="1">
      <c r="A10" s="990" t="s">
        <v>715</v>
      </c>
      <c r="B10" s="973" t="s">
        <v>12</v>
      </c>
      <c r="C10" s="974">
        <v>4</v>
      </c>
      <c r="D10" s="991">
        <v>54328871</v>
      </c>
      <c r="E10" s="976"/>
      <c r="F10" s="960"/>
    </row>
    <row r="11" spans="1:6" ht="15.75" customHeight="1">
      <c r="A11" s="972" t="s">
        <v>716</v>
      </c>
      <c r="B11" s="977" t="s">
        <v>13</v>
      </c>
      <c r="C11" s="978"/>
      <c r="D11" s="979"/>
      <c r="E11" s="992"/>
      <c r="F11" s="960"/>
    </row>
    <row r="12" spans="1:6" ht="15.75" customHeight="1">
      <c r="A12" s="972" t="s">
        <v>717</v>
      </c>
      <c r="B12" s="977" t="s">
        <v>56</v>
      </c>
      <c r="C12" s="978"/>
      <c r="D12" s="979"/>
      <c r="E12" s="992"/>
      <c r="F12" s="960"/>
    </row>
    <row r="13" spans="1:6" ht="15.75" customHeight="1" thickBot="1">
      <c r="A13" s="981" t="s">
        <v>718</v>
      </c>
      <c r="B13" s="982" t="s">
        <v>57</v>
      </c>
      <c r="C13" s="983"/>
      <c r="D13" s="984"/>
      <c r="E13" s="993"/>
      <c r="F13" s="960"/>
    </row>
    <row r="14" spans="1:6" ht="15.75" customHeight="1" thickBot="1">
      <c r="A14" s="986" t="s">
        <v>719</v>
      </c>
      <c r="B14" s="994" t="s">
        <v>396</v>
      </c>
      <c r="C14" s="995"/>
      <c r="D14" s="996">
        <f>+D15+D16+D17</f>
        <v>0</v>
      </c>
      <c r="E14" s="971"/>
      <c r="F14" s="960"/>
    </row>
    <row r="15" spans="1:6" ht="15.75" customHeight="1">
      <c r="A15" s="990" t="s">
        <v>720</v>
      </c>
      <c r="B15" s="973" t="s">
        <v>398</v>
      </c>
      <c r="C15" s="974"/>
      <c r="D15" s="991"/>
      <c r="E15" s="997"/>
      <c r="F15" s="960"/>
    </row>
    <row r="16" spans="1:6" ht="15.75" customHeight="1">
      <c r="A16" s="972" t="s">
        <v>721</v>
      </c>
      <c r="B16" s="977" t="s">
        <v>399</v>
      </c>
      <c r="C16" s="978"/>
      <c r="D16" s="979"/>
      <c r="E16" s="992"/>
      <c r="F16" s="960"/>
    </row>
    <row r="17" spans="1:6" ht="15.75" customHeight="1" thickBot="1">
      <c r="A17" s="981" t="s">
        <v>722</v>
      </c>
      <c r="B17" s="982" t="s">
        <v>400</v>
      </c>
      <c r="C17" s="983"/>
      <c r="D17" s="984"/>
      <c r="E17" s="993"/>
      <c r="F17" s="960"/>
    </row>
    <row r="18" spans="1:6" ht="15.75" customHeight="1" thickBot="1">
      <c r="A18" s="986" t="s">
        <v>723</v>
      </c>
      <c r="B18" s="994" t="s">
        <v>401</v>
      </c>
      <c r="C18" s="995"/>
      <c r="D18" s="996">
        <f>+D19+D20+D21</f>
        <v>0</v>
      </c>
      <c r="E18" s="971"/>
      <c r="F18" s="960"/>
    </row>
    <row r="19" spans="1:6" ht="15.75" customHeight="1">
      <c r="A19" s="990" t="s">
        <v>724</v>
      </c>
      <c r="B19" s="973" t="s">
        <v>402</v>
      </c>
      <c r="C19" s="974"/>
      <c r="D19" s="991"/>
      <c r="E19" s="997"/>
      <c r="F19" s="960"/>
    </row>
    <row r="20" spans="1:6" ht="15.75" customHeight="1">
      <c r="A20" s="972" t="s">
        <v>725</v>
      </c>
      <c r="B20" s="977" t="s">
        <v>574</v>
      </c>
      <c r="C20" s="978"/>
      <c r="D20" s="979"/>
      <c r="E20" s="992"/>
      <c r="F20" s="960"/>
    </row>
    <row r="21" spans="1:6" ht="15.75" customHeight="1">
      <c r="A21" s="972" t="s">
        <v>726</v>
      </c>
      <c r="B21" s="977" t="s">
        <v>575</v>
      </c>
      <c r="C21" s="978"/>
      <c r="D21" s="979"/>
      <c r="E21" s="992"/>
      <c r="F21" s="960"/>
    </row>
    <row r="22" spans="1:6" ht="15.75" customHeight="1">
      <c r="A22" s="972" t="s">
        <v>727</v>
      </c>
      <c r="B22" s="977" t="s">
        <v>577</v>
      </c>
      <c r="C22" s="978"/>
      <c r="D22" s="979"/>
      <c r="E22" s="992"/>
      <c r="F22" s="960"/>
    </row>
    <row r="23" spans="1:6" ht="15.75" customHeight="1">
      <c r="A23" s="972"/>
      <c r="B23" s="977" t="s">
        <v>700</v>
      </c>
      <c r="C23" s="978"/>
      <c r="D23" s="979"/>
      <c r="E23" s="992"/>
      <c r="F23" s="960"/>
    </row>
    <row r="24" spans="1:6" ht="15.75" customHeight="1">
      <c r="A24" s="972"/>
      <c r="B24" s="977" t="s">
        <v>701</v>
      </c>
      <c r="C24" s="978"/>
      <c r="D24" s="979"/>
      <c r="E24" s="992"/>
      <c r="F24" s="960"/>
    </row>
    <row r="25" spans="1:6" ht="15.75" customHeight="1">
      <c r="A25" s="972"/>
      <c r="B25" s="977" t="s">
        <v>702</v>
      </c>
      <c r="C25" s="978"/>
      <c r="D25" s="979"/>
      <c r="E25" s="992"/>
      <c r="F25" s="960"/>
    </row>
    <row r="26" spans="1:6" ht="15.75" customHeight="1">
      <c r="A26" s="972"/>
      <c r="B26" s="977" t="s">
        <v>728</v>
      </c>
      <c r="C26" s="978"/>
      <c r="D26" s="979"/>
      <c r="E26" s="992"/>
      <c r="F26" s="960"/>
    </row>
    <row r="27" spans="1:6" ht="15.75" customHeight="1">
      <c r="A27" s="972"/>
      <c r="B27" s="977" t="s">
        <v>729</v>
      </c>
      <c r="C27" s="978"/>
      <c r="D27" s="979"/>
      <c r="E27" s="992"/>
      <c r="F27" s="960"/>
    </row>
    <row r="28" spans="1:6" ht="15.75" customHeight="1">
      <c r="A28" s="972"/>
      <c r="B28" s="977" t="s">
        <v>730</v>
      </c>
      <c r="C28" s="978"/>
      <c r="D28" s="979"/>
      <c r="E28" s="992"/>
      <c r="F28" s="960"/>
    </row>
    <row r="29" spans="1:6" ht="15.75" customHeight="1">
      <c r="A29" s="972"/>
      <c r="B29" s="977" t="s">
        <v>731</v>
      </c>
      <c r="C29" s="978"/>
      <c r="D29" s="979"/>
      <c r="E29" s="992"/>
      <c r="F29" s="960"/>
    </row>
    <row r="30" spans="1:6" ht="15.75" customHeight="1">
      <c r="A30" s="972"/>
      <c r="B30" s="977" t="s">
        <v>732</v>
      </c>
      <c r="C30" s="978"/>
      <c r="D30" s="979"/>
      <c r="E30" s="992"/>
      <c r="F30" s="960"/>
    </row>
    <row r="31" spans="1:6" ht="15.75" customHeight="1">
      <c r="A31" s="972"/>
      <c r="B31" s="977" t="s">
        <v>733</v>
      </c>
      <c r="C31" s="978"/>
      <c r="D31" s="979"/>
      <c r="E31" s="992"/>
      <c r="F31" s="960"/>
    </row>
    <row r="32" spans="1:6" ht="15.75" customHeight="1">
      <c r="A32" s="972"/>
      <c r="B32" s="977" t="s">
        <v>734</v>
      </c>
      <c r="C32" s="978"/>
      <c r="D32" s="979"/>
      <c r="E32" s="992"/>
      <c r="F32" s="960"/>
    </row>
    <row r="33" spans="1:6" ht="15.75" customHeight="1">
      <c r="A33" s="972"/>
      <c r="B33" s="977" t="s">
        <v>735</v>
      </c>
      <c r="C33" s="978"/>
      <c r="D33" s="979"/>
      <c r="E33" s="992"/>
      <c r="F33" s="960"/>
    </row>
    <row r="34" spans="1:6" ht="15.75" customHeight="1">
      <c r="A34" s="972"/>
      <c r="B34" s="977" t="s">
        <v>736</v>
      </c>
      <c r="C34" s="978"/>
      <c r="D34" s="979"/>
      <c r="E34" s="992"/>
      <c r="F34" s="960"/>
    </row>
    <row r="35" spans="1:6" ht="15.75" customHeight="1">
      <c r="A35" s="972"/>
      <c r="B35" s="977" t="s">
        <v>737</v>
      </c>
      <c r="C35" s="978"/>
      <c r="D35" s="979"/>
      <c r="E35" s="992"/>
      <c r="F35" s="960"/>
    </row>
    <row r="36" spans="1:6" ht="15.75" customHeight="1">
      <c r="A36" s="972"/>
      <c r="B36" s="977" t="s">
        <v>738</v>
      </c>
      <c r="C36" s="978"/>
      <c r="D36" s="979"/>
      <c r="E36" s="992"/>
      <c r="F36" s="960"/>
    </row>
    <row r="37" spans="1:6" ht="15.75" customHeight="1" thickBot="1">
      <c r="A37" s="981"/>
      <c r="B37" s="982" t="s">
        <v>739</v>
      </c>
      <c r="C37" s="983"/>
      <c r="D37" s="984"/>
      <c r="E37" s="993"/>
      <c r="F37" s="960"/>
    </row>
    <row r="38" spans="1:6" ht="15.75" customHeight="1" thickBot="1">
      <c r="A38" s="1744" t="s">
        <v>740</v>
      </c>
      <c r="B38" s="1744"/>
      <c r="C38" s="998"/>
      <c r="D38" s="999">
        <f>SUM(D5+D6+D8+D9+D7)</f>
        <v>180328722</v>
      </c>
      <c r="E38" s="1000">
        <f>E9+E14+E18+E19+E20+E21+E22</f>
        <v>0</v>
      </c>
      <c r="F38" s="1001"/>
    </row>
  </sheetData>
  <sheetProtection selectLockedCells="1" selectUnlockedCells="1"/>
  <mergeCells count="3">
    <mergeCell ref="A1:E1"/>
    <mergeCell ref="D2:E2"/>
    <mergeCell ref="A38:B38"/>
  </mergeCells>
  <printOptions/>
  <pageMargins left="0.7875" right="0.7875" top="1.0527777777777778" bottom="1.0527777777777778" header="0.7875" footer="0.7875"/>
  <pageSetup horizontalDpi="300" verticalDpi="300" orientation="portrait" paperSize="9" scale="65" r:id="rId1"/>
  <headerFooter alignWithMargins="0">
    <oddHeader>&amp;R13.d.számú melléklet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view="pageBreakPreview" zoomScale="60" zoomScaleNormal="50" workbookViewId="0" topLeftCell="L1">
      <selection activeCell="AD13" sqref="AD13"/>
    </sheetView>
  </sheetViews>
  <sheetFormatPr defaultColWidth="9.140625" defaultRowHeight="12.75"/>
  <cols>
    <col min="1" max="1" width="7.7109375" style="77" customWidth="1"/>
    <col min="2" max="2" width="3.8515625" style="31" customWidth="1"/>
    <col min="3" max="3" width="5.28125" style="31" customWidth="1"/>
    <col min="4" max="4" width="66.57421875" style="18" customWidth="1"/>
    <col min="5" max="5" width="27.28125" style="1" customWidth="1"/>
    <col min="6" max="6" width="30.8515625" style="1" hidden="1" customWidth="1"/>
    <col min="7" max="7" width="26.00390625" style="1" hidden="1" customWidth="1"/>
    <col min="8" max="8" width="24.57421875" style="1" hidden="1" customWidth="1"/>
    <col min="9" max="9" width="29.421875" style="1" customWidth="1"/>
    <col min="10" max="11" width="24.57421875" style="1" customWidth="1"/>
    <col min="12" max="12" width="24.57421875" style="41" customWidth="1"/>
    <col min="13" max="15" width="24.57421875" style="41" hidden="1" customWidth="1"/>
    <col min="16" max="19" width="24.57421875" style="41" customWidth="1"/>
    <col min="20" max="22" width="24.57421875" style="41" hidden="1" customWidth="1"/>
    <col min="23" max="26" width="24.57421875" style="41" customWidth="1"/>
    <col min="27" max="27" width="24.57421875" style="1" hidden="1" customWidth="1"/>
    <col min="28" max="28" width="28.00390625" style="1" hidden="1" customWidth="1"/>
    <col min="29" max="29" width="22.8515625" style="1" hidden="1" customWidth="1"/>
    <col min="30" max="32" width="22.8515625" style="1" customWidth="1"/>
    <col min="33" max="33" width="22.8515625" style="1" hidden="1" customWidth="1"/>
    <col min="34" max="34" width="22.8515625" style="1" customWidth="1"/>
    <col min="35" max="16384" width="9.140625" style="1" customWidth="1"/>
  </cols>
  <sheetData>
    <row r="1" spans="1:26" ht="24.75" customHeight="1">
      <c r="A1" s="1567" t="s">
        <v>7</v>
      </c>
      <c r="B1" s="1567"/>
      <c r="C1" s="1567"/>
      <c r="D1" s="1567"/>
      <c r="E1" s="1567"/>
      <c r="F1" s="1567"/>
      <c r="G1" s="1567"/>
      <c r="H1" s="1567"/>
      <c r="I1" s="1567"/>
      <c r="J1" s="1567"/>
      <c r="K1" s="1567"/>
      <c r="L1" s="1567"/>
      <c r="M1" s="1567"/>
      <c r="N1" s="1567"/>
      <c r="O1" s="1567"/>
      <c r="P1" s="1567"/>
      <c r="Q1" s="1567"/>
      <c r="R1" s="1567"/>
      <c r="S1" s="1567"/>
      <c r="T1" s="1567"/>
      <c r="U1" s="1567"/>
      <c r="V1" s="1567"/>
      <c r="W1" s="1567"/>
      <c r="X1" s="1567"/>
      <c r="Y1" s="1567"/>
      <c r="Z1" s="1567"/>
    </row>
    <row r="2" spans="1:26" ht="14.25" customHeight="1" thickBot="1">
      <c r="A2" s="621" t="s">
        <v>195</v>
      </c>
      <c r="B2" s="621"/>
      <c r="C2" s="76"/>
      <c r="D2" s="90"/>
      <c r="Z2" s="88" t="s">
        <v>434</v>
      </c>
    </row>
    <row r="3" spans="1:32" s="2" customFormat="1" ht="48.75" customHeight="1" thickBot="1">
      <c r="A3" s="1561" t="s">
        <v>3</v>
      </c>
      <c r="B3" s="1536"/>
      <c r="C3" s="1536"/>
      <c r="D3" s="1536"/>
      <c r="E3" s="1561" t="s">
        <v>4</v>
      </c>
      <c r="F3" s="1536"/>
      <c r="G3" s="1536"/>
      <c r="H3" s="1536"/>
      <c r="I3" s="1536"/>
      <c r="J3" s="1536"/>
      <c r="K3" s="1562"/>
      <c r="L3" s="328" t="s">
        <v>60</v>
      </c>
      <c r="M3" s="295"/>
      <c r="N3" s="295"/>
      <c r="O3" s="295"/>
      <c r="P3" s="295"/>
      <c r="Q3" s="617"/>
      <c r="R3" s="296"/>
      <c r="S3" s="328" t="s">
        <v>61</v>
      </c>
      <c r="T3" s="295"/>
      <c r="U3" s="295"/>
      <c r="V3" s="295"/>
      <c r="W3" s="295"/>
      <c r="X3" s="296"/>
      <c r="Y3" s="662"/>
      <c r="Z3" s="1568" t="s">
        <v>65</v>
      </c>
      <c r="AA3" s="1569"/>
      <c r="AB3" s="1569"/>
      <c r="AC3" s="1569"/>
      <c r="AD3" s="1569"/>
      <c r="AE3" s="1569"/>
      <c r="AF3" s="1570"/>
    </row>
    <row r="4" spans="1:33" s="2" customFormat="1" ht="16.5" thickBot="1">
      <c r="A4" s="229"/>
      <c r="B4" s="227"/>
      <c r="C4" s="227"/>
      <c r="D4" s="227"/>
      <c r="E4" s="267" t="s">
        <v>64</v>
      </c>
      <c r="F4" s="268" t="s">
        <v>225</v>
      </c>
      <c r="G4" s="268" t="s">
        <v>228</v>
      </c>
      <c r="H4" s="268" t="s">
        <v>230</v>
      </c>
      <c r="I4" s="268" t="s">
        <v>242</v>
      </c>
      <c r="J4" s="269" t="s">
        <v>233</v>
      </c>
      <c r="K4" s="899" t="s">
        <v>234</v>
      </c>
      <c r="L4" s="267" t="s">
        <v>64</v>
      </c>
      <c r="M4" s="268" t="s">
        <v>225</v>
      </c>
      <c r="N4" s="268" t="s">
        <v>228</v>
      </c>
      <c r="O4" s="268" t="s">
        <v>230</v>
      </c>
      <c r="P4" s="268" t="s">
        <v>242</v>
      </c>
      <c r="Q4" s="269" t="s">
        <v>233</v>
      </c>
      <c r="R4" s="269" t="s">
        <v>234</v>
      </c>
      <c r="S4" s="267" t="s">
        <v>64</v>
      </c>
      <c r="T4" s="268" t="s">
        <v>225</v>
      </c>
      <c r="U4" s="268" t="s">
        <v>228</v>
      </c>
      <c r="V4" s="268" t="s">
        <v>230</v>
      </c>
      <c r="W4" s="268" t="s">
        <v>242</v>
      </c>
      <c r="X4" s="269" t="s">
        <v>233</v>
      </c>
      <c r="Y4" s="269" t="s">
        <v>234</v>
      </c>
      <c r="Z4" s="267" t="s">
        <v>64</v>
      </c>
      <c r="AA4" s="268" t="s">
        <v>225</v>
      </c>
      <c r="AB4" s="268" t="s">
        <v>228</v>
      </c>
      <c r="AC4" s="268" t="s">
        <v>230</v>
      </c>
      <c r="AD4" s="268" t="s">
        <v>242</v>
      </c>
      <c r="AE4" s="269" t="s">
        <v>233</v>
      </c>
      <c r="AF4" s="269" t="s">
        <v>234</v>
      </c>
      <c r="AG4" s="611"/>
    </row>
    <row r="5" spans="1:32" s="40" customFormat="1" ht="33" customHeight="1" thickBot="1">
      <c r="A5" s="69" t="s">
        <v>26</v>
      </c>
      <c r="B5" s="1564" t="s">
        <v>77</v>
      </c>
      <c r="C5" s="1564"/>
      <c r="D5" s="1564"/>
      <c r="E5" s="270">
        <f aca="true" t="shared" si="0" ref="E5:L5">SUM(E6:E10)</f>
        <v>589931086</v>
      </c>
      <c r="F5" s="270">
        <f t="shared" si="0"/>
        <v>597432896</v>
      </c>
      <c r="G5" s="270">
        <f t="shared" si="0"/>
        <v>611936768</v>
      </c>
      <c r="H5" s="270">
        <f>SUM(H6:H10)</f>
        <v>621238868</v>
      </c>
      <c r="I5" s="270">
        <f>SUM(I6:I10)</f>
        <v>736399485</v>
      </c>
      <c r="J5" s="270">
        <f>SUM(J6:J10)</f>
        <v>575930728</v>
      </c>
      <c r="K5" s="910">
        <f>+J5/I5</f>
        <v>0.7820900743840146</v>
      </c>
      <c r="L5" s="270">
        <f t="shared" si="0"/>
        <v>505433895</v>
      </c>
      <c r="M5" s="270">
        <f>SUM(M6:M10)</f>
        <v>512935705</v>
      </c>
      <c r="N5" s="270">
        <f>SUM(N6:N10)</f>
        <v>527229577</v>
      </c>
      <c r="O5" s="270">
        <f>SUM(O6:O10)</f>
        <v>535651677</v>
      </c>
      <c r="P5" s="270">
        <f>SUM(P6:P10)</f>
        <v>655141388</v>
      </c>
      <c r="Q5" s="270">
        <f>SUM(Q6:Q10)</f>
        <v>510368439</v>
      </c>
      <c r="R5" s="910">
        <f>+Q5/P5</f>
        <v>0.7790202975239293</v>
      </c>
      <c r="S5" s="270">
        <f aca="true" t="shared" si="1" ref="S5:X5">SUM(S6:S10)</f>
        <v>84497191</v>
      </c>
      <c r="T5" s="270">
        <f t="shared" si="1"/>
        <v>84497191</v>
      </c>
      <c r="U5" s="270">
        <f t="shared" si="1"/>
        <v>84707191</v>
      </c>
      <c r="V5" s="270">
        <f t="shared" si="1"/>
        <v>85587191</v>
      </c>
      <c r="W5" s="270">
        <f t="shared" si="1"/>
        <v>81258097</v>
      </c>
      <c r="X5" s="270">
        <f t="shared" si="1"/>
        <v>65562289</v>
      </c>
      <c r="Y5" s="910">
        <f>+X5/W5</f>
        <v>0.8068400740420982</v>
      </c>
      <c r="Z5" s="270">
        <f aca="true" t="shared" si="2" ref="Z5:AE5">SUM(Z6:Z10)</f>
        <v>6843890</v>
      </c>
      <c r="AA5" s="270">
        <f t="shared" si="2"/>
        <v>6843890</v>
      </c>
      <c r="AB5" s="270">
        <f t="shared" si="2"/>
        <v>6843890</v>
      </c>
      <c r="AC5" s="270">
        <f t="shared" si="2"/>
        <v>6843890</v>
      </c>
      <c r="AD5" s="270">
        <f t="shared" si="2"/>
        <v>6843890</v>
      </c>
      <c r="AE5" s="270">
        <f t="shared" si="2"/>
        <v>6035702</v>
      </c>
      <c r="AF5" s="910">
        <f>+AE5/AD5</f>
        <v>0.8819110184412666</v>
      </c>
    </row>
    <row r="6" spans="1:32" s="4" customFormat="1" ht="33" customHeight="1">
      <c r="A6" s="68"/>
      <c r="B6" s="73" t="s">
        <v>35</v>
      </c>
      <c r="C6" s="73"/>
      <c r="D6" s="262" t="s">
        <v>0</v>
      </c>
      <c r="E6" s="271">
        <f>'4.sz.m.ÖNK kiadás'!E7+'5.1 sz. m Köz Hiv'!D35+'5.2 sz. m ÁMK'!D38+'üres lap'!D27</f>
        <v>213636935</v>
      </c>
      <c r="F6" s="271">
        <f>'4.sz.m.ÖNK kiadás'!F7+'5.1 sz. m Köz Hiv'!E35+'5.2 sz. m ÁMK'!E38+'üres lap'!E27</f>
        <v>219380672</v>
      </c>
      <c r="G6" s="271">
        <f>'4.sz.m.ÖNK kiadás'!G7+'5.1 sz. m Köz Hiv'!F35+'5.2 sz. m ÁMK'!F38+'üres lap'!F27</f>
        <v>221446716</v>
      </c>
      <c r="H6" s="271">
        <f>'4.sz.m.ÖNK kiadás'!H7+'5.1 sz. m Köz Hiv'!G35+'5.2 sz. m ÁMK'!G38+'üres lap'!G27</f>
        <v>221995772</v>
      </c>
      <c r="I6" s="271">
        <f>'4.sz.m.ÖNK kiadás'!I7+'5.1 sz. m Köz Hiv'!H35+'5.2 sz. m ÁMK'!H38+'üres lap'!H27</f>
        <v>223595404</v>
      </c>
      <c r="J6" s="271">
        <f>'4.sz.m.ÖNK kiadás'!J7+'5.1 sz. m Köz Hiv'!I35+'5.2 sz. m ÁMK'!I38+'üres lap'!I27</f>
        <v>218282052</v>
      </c>
      <c r="K6" s="911">
        <f>+J6/I6</f>
        <v>0.9762367566374486</v>
      </c>
      <c r="L6" s="271">
        <f aca="true" t="shared" si="3" ref="L6:O13">E6-S6</f>
        <v>192021935</v>
      </c>
      <c r="M6" s="271">
        <f t="shared" si="3"/>
        <v>197765672</v>
      </c>
      <c r="N6" s="271">
        <f t="shared" si="3"/>
        <v>199831716</v>
      </c>
      <c r="O6" s="271">
        <f t="shared" si="3"/>
        <v>200380772</v>
      </c>
      <c r="P6" s="271">
        <f aca="true" t="shared" si="4" ref="P6:Q13">I6-W6</f>
        <v>203246027</v>
      </c>
      <c r="Q6" s="271">
        <f t="shared" si="4"/>
        <v>200572676</v>
      </c>
      <c r="R6" s="911">
        <f>+Q6/P6</f>
        <v>0.9868467244380624</v>
      </c>
      <c r="S6" s="271">
        <f>'4.sz.m.ÖNK kiadás'!S7+'5.1 sz. m Köz Hiv'!S35</f>
        <v>21615000</v>
      </c>
      <c r="T6" s="271">
        <f>'4.sz.m.ÖNK kiadás'!T7+'5.1 sz. m Köz Hiv'!T35</f>
        <v>21615000</v>
      </c>
      <c r="U6" s="271">
        <f>'4.sz.m.ÖNK kiadás'!U7+'5.1 sz. m Köz Hiv'!U35</f>
        <v>21615000</v>
      </c>
      <c r="V6" s="271">
        <f>'4.sz.m.ÖNK kiadás'!V7+'5.1 sz. m Köz Hiv'!V35</f>
        <v>21615000</v>
      </c>
      <c r="W6" s="271">
        <f>'4.sz.m.ÖNK kiadás'!W7+'5.1 sz. m Köz Hiv'!W35</f>
        <v>20349377</v>
      </c>
      <c r="X6" s="271">
        <f>'4.sz.m.ÖNK kiadás'!X7+'5.1 sz. m Köz Hiv'!X35</f>
        <v>17709376</v>
      </c>
      <c r="Y6" s="911">
        <f>+X6/W6</f>
        <v>0.870266249428668</v>
      </c>
      <c r="Z6" s="271">
        <f>'5.1 sz. m Köz Hiv'!Z35</f>
        <v>4877374</v>
      </c>
      <c r="AA6" s="271">
        <f>'5.1 sz. m Köz Hiv'!AA35</f>
        <v>4877374</v>
      </c>
      <c r="AB6" s="271">
        <f>'5.1 sz. m Köz Hiv'!AB35</f>
        <v>4877374</v>
      </c>
      <c r="AC6" s="271">
        <f>'5.1 sz. m Köz Hiv'!AC35</f>
        <v>4877374</v>
      </c>
      <c r="AD6" s="271">
        <f>'5.1 sz. m Köz Hiv'!AD35</f>
        <v>4877374</v>
      </c>
      <c r="AE6" s="271">
        <f>'5.1 sz. m Köz Hiv'!AE35</f>
        <v>4317274</v>
      </c>
      <c r="AF6" s="911">
        <f>+AE6/AD6</f>
        <v>0.8851636146828191</v>
      </c>
    </row>
    <row r="7" spans="1:32" s="4" customFormat="1" ht="33" customHeight="1">
      <c r="A7" s="51"/>
      <c r="B7" s="60" t="s">
        <v>36</v>
      </c>
      <c r="C7" s="60"/>
      <c r="D7" s="263" t="s">
        <v>78</v>
      </c>
      <c r="E7" s="271">
        <f>'4.sz.m.ÖNK kiadás'!E8+'5.1 sz. m Köz Hiv'!D36+'5.2 sz. m ÁMK'!D39+'üres lap'!D28</f>
        <v>41839351</v>
      </c>
      <c r="F7" s="271">
        <f>'4.sz.m.ÖNK kiadás'!F8+'5.1 sz. m Köz Hiv'!E36+'5.2 sz. m ÁMK'!E39+'üres lap'!E28</f>
        <v>43053247</v>
      </c>
      <c r="G7" s="271">
        <f>'4.sz.m.ÖNK kiadás'!G8+'5.1 sz. m Köz Hiv'!F36+'5.2 sz. m ÁMK'!F39+'üres lap'!F28</f>
        <v>43460332</v>
      </c>
      <c r="H7" s="271">
        <f>'4.sz.m.ÖNK kiadás'!H8+'5.1 sz. m Köz Hiv'!G36+'5.2 sz. m ÁMK'!G39+'üres lap'!G28</f>
        <v>43551332</v>
      </c>
      <c r="I7" s="271">
        <f>'4.sz.m.ÖNK kiadás'!I8+'5.1 sz. m Köz Hiv'!H36+'5.2 sz. m ÁMK'!H39+'üres lap'!H28</f>
        <v>43833653</v>
      </c>
      <c r="J7" s="271">
        <f>'4.sz.m.ÖNK kiadás'!J8+'5.1 sz. m Köz Hiv'!I36+'5.2 sz. m ÁMK'!I39+'üres lap'!I28</f>
        <v>40871360</v>
      </c>
      <c r="K7" s="911">
        <f aca="true" t="shared" si="5" ref="K7:K35">+J7/I7</f>
        <v>0.9324196639508918</v>
      </c>
      <c r="L7" s="271">
        <f t="shared" si="3"/>
        <v>37084051</v>
      </c>
      <c r="M7" s="271">
        <f t="shared" si="3"/>
        <v>38297947</v>
      </c>
      <c r="N7" s="271">
        <f t="shared" si="3"/>
        <v>38705032</v>
      </c>
      <c r="O7" s="271">
        <f t="shared" si="3"/>
        <v>38796032</v>
      </c>
      <c r="P7" s="271">
        <f t="shared" si="4"/>
        <v>39626978</v>
      </c>
      <c r="Q7" s="271">
        <f t="shared" si="4"/>
        <v>37726593</v>
      </c>
      <c r="R7" s="911">
        <f aca="true" t="shared" si="6" ref="R7:R35">+Q7/P7</f>
        <v>0.9520431510068721</v>
      </c>
      <c r="S7" s="271">
        <f>'4.sz.m.ÖNK kiadás'!S8+'5.1 sz. m Köz Hiv'!S36</f>
        <v>4755300</v>
      </c>
      <c r="T7" s="271">
        <f>'4.sz.m.ÖNK kiadás'!T8+'5.1 sz. m Köz Hiv'!T36</f>
        <v>4755300</v>
      </c>
      <c r="U7" s="271">
        <f>'4.sz.m.ÖNK kiadás'!U8+'5.1 sz. m Köz Hiv'!U36</f>
        <v>4755300</v>
      </c>
      <c r="V7" s="271">
        <f>'4.sz.m.ÖNK kiadás'!V8+'5.1 sz. m Köz Hiv'!V36</f>
        <v>4755300</v>
      </c>
      <c r="W7" s="271">
        <f>'4.sz.m.ÖNK kiadás'!W8+'5.1 sz. m Köz Hiv'!W36</f>
        <v>4206675</v>
      </c>
      <c r="X7" s="271">
        <f>'4.sz.m.ÖNK kiadás'!X8+'5.1 sz. m Köz Hiv'!X36</f>
        <v>3144767</v>
      </c>
      <c r="Y7" s="911">
        <f>+X7/W7</f>
        <v>0.7475659517314743</v>
      </c>
      <c r="Z7" s="271">
        <f>'5.1 sz. m Köz Hiv'!Z36</f>
        <v>955902</v>
      </c>
      <c r="AA7" s="271">
        <f>'5.1 sz. m Köz Hiv'!AA36</f>
        <v>955902</v>
      </c>
      <c r="AB7" s="271">
        <f>'5.1 sz. m Köz Hiv'!AB36</f>
        <v>955902</v>
      </c>
      <c r="AC7" s="271">
        <f>'5.1 sz. m Köz Hiv'!AC36</f>
        <v>955902</v>
      </c>
      <c r="AD7" s="271">
        <f>'5.1 sz. m Köz Hiv'!AD36</f>
        <v>955902</v>
      </c>
      <c r="AE7" s="271">
        <f>'5.1 sz. m Köz Hiv'!AE36</f>
        <v>818171</v>
      </c>
      <c r="AF7" s="911">
        <f>+AE7/AD7</f>
        <v>0.8559151461133045</v>
      </c>
    </row>
    <row r="8" spans="1:32" s="4" customFormat="1" ht="33" customHeight="1">
      <c r="A8" s="51"/>
      <c r="B8" s="60" t="s">
        <v>37</v>
      </c>
      <c r="C8" s="60"/>
      <c r="D8" s="263" t="s">
        <v>79</v>
      </c>
      <c r="E8" s="271">
        <f>'4.sz.m.ÖNK kiadás'!E9+'5.1 sz. m Köz Hiv'!D37+'5.2 sz. m ÁMK'!D40+'üres lap'!D29</f>
        <v>178212404</v>
      </c>
      <c r="F8" s="271">
        <f>'4.sz.m.ÖNK kiadás'!F9+'5.1 sz. m Köz Hiv'!E37+'5.2 sz. m ÁMK'!E40+'üres lap'!E29</f>
        <v>178569404</v>
      </c>
      <c r="G8" s="271">
        <f>'4.sz.m.ÖNK kiadás'!G9+'5.1 sz. m Köz Hiv'!F37+'5.2 sz. m ÁMK'!F40+'üres lap'!F29</f>
        <v>190390147</v>
      </c>
      <c r="H8" s="271">
        <f>'4.sz.m.ÖNK kiadás'!H9+'5.1 sz. m Köz Hiv'!G37+'5.2 sz. m ÁMK'!G40+'üres lap'!G29</f>
        <v>195932191</v>
      </c>
      <c r="I8" s="271">
        <f>'4.sz.m.ÖNK kiadás'!I9+'5.1 sz. m Köz Hiv'!H37+'5.2 sz. m ÁMK'!H40+'üres lap'!H29</f>
        <v>314973356</v>
      </c>
      <c r="J8" s="271">
        <f>'4.sz.m.ÖNK kiadás'!J9+'5.1 sz. m Köz Hiv'!I37+'5.2 sz. m ÁMK'!I40+'üres lap'!I29</f>
        <v>163105610</v>
      </c>
      <c r="K8" s="911">
        <f t="shared" si="5"/>
        <v>0.5178393882941642</v>
      </c>
      <c r="L8" s="271">
        <f t="shared" si="3"/>
        <v>132418326</v>
      </c>
      <c r="M8" s="271">
        <f t="shared" si="3"/>
        <v>132775326</v>
      </c>
      <c r="N8" s="271">
        <f t="shared" si="3"/>
        <v>144596069</v>
      </c>
      <c r="O8" s="271">
        <f t="shared" si="3"/>
        <v>151258113</v>
      </c>
      <c r="P8" s="271">
        <f t="shared" si="4"/>
        <v>270245578</v>
      </c>
      <c r="Q8" s="271">
        <f t="shared" si="4"/>
        <v>130115731</v>
      </c>
      <c r="R8" s="911">
        <f t="shared" si="6"/>
        <v>0.4814721926735837</v>
      </c>
      <c r="S8" s="271">
        <f>'4.sz.m.ÖNK kiadás'!S9</f>
        <v>45794078</v>
      </c>
      <c r="T8" s="271">
        <f>'4.sz.m.ÖNK kiadás'!T9</f>
        <v>45794078</v>
      </c>
      <c r="U8" s="271">
        <f>'4.sz.m.ÖNK kiadás'!U9</f>
        <v>45794078</v>
      </c>
      <c r="V8" s="271">
        <f>'4.sz.m.ÖNK kiadás'!V9</f>
        <v>44674078</v>
      </c>
      <c r="W8" s="271">
        <f>'4.sz.m.ÖNK kiadás'!W9</f>
        <v>44727778</v>
      </c>
      <c r="X8" s="271">
        <f>'4.sz.m.ÖNK kiadás'!X9</f>
        <v>32989879</v>
      </c>
      <c r="Y8" s="911">
        <f>+X8/W8</f>
        <v>0.7375702633830815</v>
      </c>
      <c r="Z8" s="271">
        <f>'5.1 sz. m Köz Hiv'!Z37</f>
        <v>1010614</v>
      </c>
      <c r="AA8" s="271">
        <f>'5.1 sz. m Köz Hiv'!AA37</f>
        <v>1010614</v>
      </c>
      <c r="AB8" s="271">
        <f>'5.1 sz. m Köz Hiv'!AB37</f>
        <v>1010614</v>
      </c>
      <c r="AC8" s="271">
        <f>'5.1 sz. m Köz Hiv'!AC37</f>
        <v>1010614</v>
      </c>
      <c r="AD8" s="271">
        <f>'5.1 sz. m Köz Hiv'!AD37</f>
        <v>1010614</v>
      </c>
      <c r="AE8" s="271">
        <f>'5.1 sz. m Köz Hiv'!AE37</f>
        <v>900257</v>
      </c>
      <c r="AF8" s="911">
        <f>+AE8/AD8</f>
        <v>0.8908020272824243</v>
      </c>
    </row>
    <row r="9" spans="1:32" s="4" customFormat="1" ht="33" customHeight="1">
      <c r="A9" s="51"/>
      <c r="B9" s="60" t="s">
        <v>48</v>
      </c>
      <c r="C9" s="60"/>
      <c r="D9" s="263" t="s">
        <v>80</v>
      </c>
      <c r="E9" s="271">
        <f>'4.sz.m.ÖNK kiadás'!E10+'5.1 sz. m Köz Hiv'!D38+'5.2 sz. m ÁMK'!D41+'üres lap'!D30</f>
        <v>2250000</v>
      </c>
      <c r="F9" s="271">
        <f>'4.sz.m.ÖNK kiadás'!F10+'5.1 sz. m Köz Hiv'!E38+'5.2 sz. m ÁMK'!E41+'üres lap'!E30</f>
        <v>2250000</v>
      </c>
      <c r="G9" s="271">
        <f>'4.sz.m.ÖNK kiadás'!G10+'5.1 sz. m Köz Hiv'!F38+'5.2 sz. m ÁMK'!F41+'üres lap'!F30</f>
        <v>2250000</v>
      </c>
      <c r="H9" s="271">
        <f>'4.sz.m.ÖNK kiadás'!H10+'5.1 sz. m Köz Hiv'!G38+'5.2 sz. m ÁMK'!G41+'üres lap'!G30</f>
        <v>3370000</v>
      </c>
      <c r="I9" s="271">
        <f>'4.sz.m.ÖNK kiadás'!I10+'5.1 sz. m Köz Hiv'!H38+'5.2 sz. m ÁMK'!H41+'üres lap'!H30</f>
        <v>3370000</v>
      </c>
      <c r="J9" s="271">
        <f>'4.sz.m.ÖNK kiadás'!J10+'5.1 sz. m Köz Hiv'!I38+'5.2 sz. m ÁMK'!I41+'üres lap'!I30</f>
        <v>3300634</v>
      </c>
      <c r="K9" s="911">
        <f t="shared" si="5"/>
        <v>0.9794166172106825</v>
      </c>
      <c r="L9" s="271">
        <f t="shared" si="3"/>
        <v>2250000</v>
      </c>
      <c r="M9" s="271">
        <f t="shared" si="3"/>
        <v>2250000</v>
      </c>
      <c r="N9" s="271">
        <f t="shared" si="3"/>
        <v>2250000</v>
      </c>
      <c r="O9" s="271">
        <f t="shared" si="3"/>
        <v>3370000</v>
      </c>
      <c r="P9" s="271">
        <f t="shared" si="4"/>
        <v>3370000</v>
      </c>
      <c r="Q9" s="271">
        <f t="shared" si="4"/>
        <v>3300634</v>
      </c>
      <c r="R9" s="911">
        <f t="shared" si="6"/>
        <v>0.9794166172106825</v>
      </c>
      <c r="S9" s="271">
        <f>'4.sz.m.ÖNK kiadás'!S10</f>
        <v>0</v>
      </c>
      <c r="T9" s="271">
        <f>'4.sz.m.ÖNK kiadás'!T10</f>
        <v>0</v>
      </c>
      <c r="U9" s="271">
        <f>'4.sz.m.ÖNK kiadás'!U10</f>
        <v>0</v>
      </c>
      <c r="V9" s="271">
        <f>'4.sz.m.ÖNK kiadás'!V10</f>
        <v>0</v>
      </c>
      <c r="W9" s="271">
        <f>'4.sz.m.ÖNK kiadás'!W10</f>
        <v>0</v>
      </c>
      <c r="X9" s="271">
        <f>'4.sz.m.ÖNK kiadás'!X10</f>
        <v>0</v>
      </c>
      <c r="Y9" s="911"/>
      <c r="Z9" s="271">
        <v>0</v>
      </c>
      <c r="AA9" s="271">
        <v>0</v>
      </c>
      <c r="AB9" s="271">
        <v>0</v>
      </c>
      <c r="AC9" s="271">
        <v>0</v>
      </c>
      <c r="AD9" s="271">
        <v>0</v>
      </c>
      <c r="AE9" s="271">
        <v>0</v>
      </c>
      <c r="AF9" s="911"/>
    </row>
    <row r="10" spans="1:32" s="4" customFormat="1" ht="33" customHeight="1">
      <c r="A10" s="51"/>
      <c r="B10" s="60" t="s">
        <v>49</v>
      </c>
      <c r="C10" s="60"/>
      <c r="D10" s="264" t="s">
        <v>82</v>
      </c>
      <c r="E10" s="271">
        <f aca="true" t="shared" si="7" ref="E10:J10">SUM(E11:E15)</f>
        <v>153992396</v>
      </c>
      <c r="F10" s="271">
        <f t="shared" si="7"/>
        <v>154179573</v>
      </c>
      <c r="G10" s="271">
        <f t="shared" si="7"/>
        <v>154389573</v>
      </c>
      <c r="H10" s="271">
        <f>SUM(H11:H15)</f>
        <v>156389573</v>
      </c>
      <c r="I10" s="271">
        <f t="shared" si="7"/>
        <v>150627072</v>
      </c>
      <c r="J10" s="271">
        <f t="shared" si="7"/>
        <v>150371072</v>
      </c>
      <c r="K10" s="911">
        <f t="shared" si="5"/>
        <v>0.998300438316958</v>
      </c>
      <c r="L10" s="271">
        <f t="shared" si="3"/>
        <v>141659583</v>
      </c>
      <c r="M10" s="271">
        <f t="shared" si="3"/>
        <v>141846760</v>
      </c>
      <c r="N10" s="271">
        <f t="shared" si="3"/>
        <v>141846760</v>
      </c>
      <c r="O10" s="271">
        <f t="shared" si="3"/>
        <v>141846760</v>
      </c>
      <c r="P10" s="271">
        <f t="shared" si="4"/>
        <v>138652805</v>
      </c>
      <c r="Q10" s="271">
        <f t="shared" si="4"/>
        <v>138652805</v>
      </c>
      <c r="R10" s="911">
        <f t="shared" si="6"/>
        <v>1</v>
      </c>
      <c r="S10" s="271">
        <f>'4.sz.m.ÖNK kiadás'!S11</f>
        <v>12332813</v>
      </c>
      <c r="T10" s="271">
        <f>'4.sz.m.ÖNK kiadás'!T11</f>
        <v>12332813</v>
      </c>
      <c r="U10" s="271">
        <f>'4.sz.m.ÖNK kiadás'!U11</f>
        <v>12542813</v>
      </c>
      <c r="V10" s="271">
        <f>'4.sz.m.ÖNK kiadás'!V11</f>
        <v>14542813</v>
      </c>
      <c r="W10" s="271">
        <f>'4.sz.m.ÖNK kiadás'!W11</f>
        <v>11974267</v>
      </c>
      <c r="X10" s="271">
        <f>'4.sz.m.ÖNK kiadás'!X11</f>
        <v>11718267</v>
      </c>
      <c r="Y10" s="911">
        <f>+X10/W10</f>
        <v>0.9786208207984672</v>
      </c>
      <c r="Z10" s="271">
        <v>0</v>
      </c>
      <c r="AA10" s="271">
        <v>0</v>
      </c>
      <c r="AB10" s="271">
        <v>0</v>
      </c>
      <c r="AC10" s="271">
        <v>0</v>
      </c>
      <c r="AD10" s="271">
        <v>0</v>
      </c>
      <c r="AE10" s="271">
        <v>0</v>
      </c>
      <c r="AF10" s="911"/>
    </row>
    <row r="11" spans="1:32" s="4" customFormat="1" ht="33" customHeight="1">
      <c r="A11" s="51"/>
      <c r="B11" s="81"/>
      <c r="C11" s="60" t="s">
        <v>81</v>
      </c>
      <c r="D11" s="263" t="s">
        <v>274</v>
      </c>
      <c r="E11" s="271">
        <f>'4.sz.m.ÖNK kiadás'!E12</f>
        <v>0</v>
      </c>
      <c r="F11" s="271">
        <f>'4.sz.m.ÖNK kiadás'!F12</f>
        <v>187177</v>
      </c>
      <c r="G11" s="271">
        <f>'4.sz.m.ÖNK kiadás'!G12</f>
        <v>187177</v>
      </c>
      <c r="H11" s="271">
        <f>'4.sz.m.ÖNK kiadás'!H12</f>
        <v>187177</v>
      </c>
      <c r="I11" s="271">
        <f>'4.sz.m.ÖNK kiadás'!I12</f>
        <v>187177</v>
      </c>
      <c r="J11" s="271">
        <f>'4.sz.m.ÖNK kiadás'!J12</f>
        <v>187177</v>
      </c>
      <c r="K11" s="911">
        <f t="shared" si="5"/>
        <v>1</v>
      </c>
      <c r="L11" s="271">
        <f t="shared" si="3"/>
        <v>0</v>
      </c>
      <c r="M11" s="271">
        <f t="shared" si="3"/>
        <v>187177</v>
      </c>
      <c r="N11" s="271">
        <f t="shared" si="3"/>
        <v>187177</v>
      </c>
      <c r="O11" s="271">
        <f t="shared" si="3"/>
        <v>187177</v>
      </c>
      <c r="P11" s="271">
        <f t="shared" si="4"/>
        <v>187177</v>
      </c>
      <c r="Q11" s="271">
        <f t="shared" si="4"/>
        <v>187177</v>
      </c>
      <c r="R11" s="911">
        <f t="shared" si="6"/>
        <v>1</v>
      </c>
      <c r="S11" s="271">
        <f>'4.sz.m.ÖNK kiadás'!S12</f>
        <v>0</v>
      </c>
      <c r="T11" s="271">
        <f>'4.sz.m.ÖNK kiadás'!T12</f>
        <v>0</v>
      </c>
      <c r="U11" s="271">
        <f>'4.sz.m.ÖNK kiadás'!U12</f>
        <v>0</v>
      </c>
      <c r="V11" s="271">
        <f>'4.sz.m.ÖNK kiadás'!V12</f>
        <v>0</v>
      </c>
      <c r="W11" s="271">
        <f>'4.sz.m.ÖNK kiadás'!W12</f>
        <v>0</v>
      </c>
      <c r="X11" s="271">
        <f>'4.sz.m.ÖNK kiadás'!X12</f>
        <v>0</v>
      </c>
      <c r="Y11" s="911"/>
      <c r="Z11" s="271">
        <v>0</v>
      </c>
      <c r="AA11" s="271">
        <v>0</v>
      </c>
      <c r="AB11" s="271">
        <v>0</v>
      </c>
      <c r="AC11" s="271">
        <v>0</v>
      </c>
      <c r="AD11" s="271">
        <v>0</v>
      </c>
      <c r="AE11" s="271">
        <v>0</v>
      </c>
      <c r="AF11" s="911"/>
    </row>
    <row r="12" spans="1:32" s="4" customFormat="1" ht="57.75" customHeight="1">
      <c r="A12" s="51"/>
      <c r="B12" s="60"/>
      <c r="C12" s="60" t="s">
        <v>83</v>
      </c>
      <c r="D12" s="263" t="s">
        <v>275</v>
      </c>
      <c r="E12" s="271">
        <f>'4.sz.m.ÖNK kiadás'!E13</f>
        <v>11041025</v>
      </c>
      <c r="F12" s="271">
        <f>'4.sz.m.ÖNK kiadás'!F13</f>
        <v>11041025</v>
      </c>
      <c r="G12" s="271">
        <f>'4.sz.m.ÖNK kiadás'!G13</f>
        <v>11251025</v>
      </c>
      <c r="H12" s="271">
        <f>'4.sz.m.ÖNK kiadás'!H13</f>
        <v>13251025</v>
      </c>
      <c r="I12" s="271">
        <f>'4.sz.m.ÖNK kiadás'!I13</f>
        <v>10899721</v>
      </c>
      <c r="J12" s="271">
        <f>'4.sz.m.ÖNK kiadás'!J13</f>
        <v>10643721</v>
      </c>
      <c r="K12" s="911">
        <f t="shared" si="5"/>
        <v>0.9765131602909836</v>
      </c>
      <c r="L12" s="271">
        <f t="shared" si="3"/>
        <v>0</v>
      </c>
      <c r="M12" s="271">
        <f t="shared" si="3"/>
        <v>0</v>
      </c>
      <c r="N12" s="271">
        <f t="shared" si="3"/>
        <v>0</v>
      </c>
      <c r="O12" s="271">
        <f t="shared" si="3"/>
        <v>0</v>
      </c>
      <c r="P12" s="271">
        <f t="shared" si="4"/>
        <v>0</v>
      </c>
      <c r="Q12" s="271">
        <f t="shared" si="4"/>
        <v>0</v>
      </c>
      <c r="R12" s="911"/>
      <c r="S12" s="271">
        <f>'4.sz.m.ÖNK kiadás'!S13</f>
        <v>11041025</v>
      </c>
      <c r="T12" s="271">
        <f>'4.sz.m.ÖNK kiadás'!T13</f>
        <v>11041025</v>
      </c>
      <c r="U12" s="271">
        <f>'4.sz.m.ÖNK kiadás'!U13</f>
        <v>11251025</v>
      </c>
      <c r="V12" s="271">
        <f>'4.sz.m.ÖNK kiadás'!V13</f>
        <v>13251025</v>
      </c>
      <c r="W12" s="271">
        <f>'4.sz.m.ÖNK kiadás'!W13</f>
        <v>10899721</v>
      </c>
      <c r="X12" s="271">
        <f>'4.sz.m.ÖNK kiadás'!X13</f>
        <v>10643721</v>
      </c>
      <c r="Y12" s="911">
        <f aca="true" t="shared" si="8" ref="Y12:Y20">+X12/W12</f>
        <v>0.9765131602909836</v>
      </c>
      <c r="Z12" s="271">
        <v>0</v>
      </c>
      <c r="AA12" s="271">
        <v>0</v>
      </c>
      <c r="AB12" s="271">
        <v>0</v>
      </c>
      <c r="AC12" s="271">
        <v>0</v>
      </c>
      <c r="AD12" s="271">
        <v>0</v>
      </c>
      <c r="AE12" s="271">
        <v>0</v>
      </c>
      <c r="AF12" s="911"/>
    </row>
    <row r="13" spans="1:32" s="4" customFormat="1" ht="54.75" customHeight="1" thickBot="1">
      <c r="A13" s="78"/>
      <c r="B13" s="79"/>
      <c r="C13" s="60" t="s">
        <v>84</v>
      </c>
      <c r="D13" s="263" t="s">
        <v>276</v>
      </c>
      <c r="E13" s="271">
        <f>'4.sz.m.ÖNK kiadás'!E14</f>
        <v>142951371</v>
      </c>
      <c r="F13" s="271">
        <f>'4.sz.m.ÖNK kiadás'!F14</f>
        <v>142951371</v>
      </c>
      <c r="G13" s="271">
        <f>'4.sz.m.ÖNK kiadás'!G14</f>
        <v>142951371</v>
      </c>
      <c r="H13" s="271">
        <f>'4.sz.m.ÖNK kiadás'!H14</f>
        <v>142951371</v>
      </c>
      <c r="I13" s="271">
        <f>'4.sz.m.ÖNK kiadás'!I14</f>
        <v>139540174</v>
      </c>
      <c r="J13" s="271">
        <f>'4.sz.m.ÖNK kiadás'!J14</f>
        <v>139540174</v>
      </c>
      <c r="K13" s="911">
        <f t="shared" si="5"/>
        <v>1</v>
      </c>
      <c r="L13" s="271">
        <f t="shared" si="3"/>
        <v>141659583</v>
      </c>
      <c r="M13" s="271">
        <f t="shared" si="3"/>
        <v>141659583</v>
      </c>
      <c r="N13" s="271">
        <f t="shared" si="3"/>
        <v>141659583</v>
      </c>
      <c r="O13" s="271">
        <f t="shared" si="3"/>
        <v>141659583</v>
      </c>
      <c r="P13" s="271">
        <f t="shared" si="4"/>
        <v>138465628</v>
      </c>
      <c r="Q13" s="271">
        <f t="shared" si="4"/>
        <v>138465628</v>
      </c>
      <c r="R13" s="911">
        <f t="shared" si="6"/>
        <v>1</v>
      </c>
      <c r="S13" s="271">
        <f>'4.sz.m.ÖNK kiadás'!S14</f>
        <v>1291788</v>
      </c>
      <c r="T13" s="271">
        <f>'4.sz.m.ÖNK kiadás'!T14</f>
        <v>1291788</v>
      </c>
      <c r="U13" s="271">
        <f>'4.sz.m.ÖNK kiadás'!U14</f>
        <v>1291788</v>
      </c>
      <c r="V13" s="271">
        <f>'4.sz.m.ÖNK kiadás'!V14</f>
        <v>1291788</v>
      </c>
      <c r="W13" s="271">
        <f>'4.sz.m.ÖNK kiadás'!W14</f>
        <v>1074546</v>
      </c>
      <c r="X13" s="271">
        <f>'4.sz.m.ÖNK kiadás'!X14</f>
        <v>1074546</v>
      </c>
      <c r="Y13" s="911">
        <f t="shared" si="8"/>
        <v>1</v>
      </c>
      <c r="Z13" s="271">
        <v>0</v>
      </c>
      <c r="AA13" s="271">
        <v>0</v>
      </c>
      <c r="AB13" s="271">
        <v>0</v>
      </c>
      <c r="AC13" s="271">
        <v>0</v>
      </c>
      <c r="AD13" s="271">
        <v>0</v>
      </c>
      <c r="AE13" s="271">
        <v>0</v>
      </c>
      <c r="AF13" s="911"/>
    </row>
    <row r="14" spans="1:32" s="4" customFormat="1" ht="33" customHeight="1" hidden="1">
      <c r="A14" s="51"/>
      <c r="B14" s="60"/>
      <c r="C14" s="60" t="s">
        <v>87</v>
      </c>
      <c r="D14" s="263" t="s">
        <v>89</v>
      </c>
      <c r="E14" s="271"/>
      <c r="F14" s="271"/>
      <c r="G14" s="271"/>
      <c r="H14" s="271"/>
      <c r="I14" s="271"/>
      <c r="J14" s="271"/>
      <c r="K14" s="911" t="e">
        <f t="shared" si="5"/>
        <v>#DIV/0!</v>
      </c>
      <c r="L14" s="271"/>
      <c r="M14" s="271"/>
      <c r="N14" s="271"/>
      <c r="O14" s="271"/>
      <c r="P14" s="271"/>
      <c r="Q14" s="271"/>
      <c r="R14" s="911" t="e">
        <f t="shared" si="6"/>
        <v>#DIV/0!</v>
      </c>
      <c r="S14" s="271">
        <f>'4.sz.m.ÖNK kiadás'!S15</f>
        <v>0</v>
      </c>
      <c r="T14" s="271">
        <f>'4.sz.m.ÖNK kiadás'!T15</f>
        <v>0</v>
      </c>
      <c r="U14" s="271">
        <f>'4.sz.m.ÖNK kiadás'!U15</f>
        <v>0</v>
      </c>
      <c r="V14" s="271">
        <f>'4.sz.m.ÖNK kiadás'!V15</f>
        <v>0</v>
      </c>
      <c r="W14" s="271">
        <f>'4.sz.m.ÖNK kiadás'!W15</f>
        <v>0</v>
      </c>
      <c r="X14" s="271">
        <f>'4.sz.m.ÖNK kiadás'!X15</f>
        <v>0</v>
      </c>
      <c r="Y14" s="911" t="e">
        <f t="shared" si="8"/>
        <v>#DIV/0!</v>
      </c>
      <c r="Z14" s="271"/>
      <c r="AA14" s="271"/>
      <c r="AB14" s="271"/>
      <c r="AC14" s="271"/>
      <c r="AD14" s="271"/>
      <c r="AE14" s="271"/>
      <c r="AF14" s="911"/>
    </row>
    <row r="15" spans="1:32" s="4" customFormat="1" ht="33" customHeight="1" hidden="1" thickBot="1">
      <c r="A15" s="83"/>
      <c r="B15" s="74"/>
      <c r="C15" s="74" t="s">
        <v>88</v>
      </c>
      <c r="D15" s="265" t="s">
        <v>90</v>
      </c>
      <c r="E15" s="271"/>
      <c r="F15" s="271"/>
      <c r="G15" s="271"/>
      <c r="H15" s="271"/>
      <c r="I15" s="271"/>
      <c r="J15" s="271"/>
      <c r="K15" s="911" t="e">
        <f t="shared" si="5"/>
        <v>#DIV/0!</v>
      </c>
      <c r="L15" s="271"/>
      <c r="M15" s="271"/>
      <c r="N15" s="271"/>
      <c r="O15" s="271"/>
      <c r="P15" s="271"/>
      <c r="Q15" s="271"/>
      <c r="R15" s="911" t="e">
        <f t="shared" si="6"/>
        <v>#DIV/0!</v>
      </c>
      <c r="S15" s="271">
        <f>'4.sz.m.ÖNK kiadás'!S16</f>
        <v>0</v>
      </c>
      <c r="T15" s="271">
        <f>'4.sz.m.ÖNK kiadás'!T16</f>
        <v>0</v>
      </c>
      <c r="U15" s="271">
        <f>'4.sz.m.ÖNK kiadás'!U16</f>
        <v>0</v>
      </c>
      <c r="V15" s="271">
        <f>'4.sz.m.ÖNK kiadás'!V16</f>
        <v>0</v>
      </c>
      <c r="W15" s="271">
        <f>'4.sz.m.ÖNK kiadás'!W16</f>
        <v>0</v>
      </c>
      <c r="X15" s="271">
        <f>'4.sz.m.ÖNK kiadás'!X16</f>
        <v>0</v>
      </c>
      <c r="Y15" s="911" t="e">
        <f t="shared" si="8"/>
        <v>#DIV/0!</v>
      </c>
      <c r="Z15" s="271"/>
      <c r="AA15" s="271"/>
      <c r="AB15" s="271"/>
      <c r="AC15" s="271"/>
      <c r="AD15" s="271"/>
      <c r="AE15" s="271"/>
      <c r="AF15" s="911"/>
    </row>
    <row r="16" spans="1:32" s="4" customFormat="1" ht="33" customHeight="1" thickBot="1">
      <c r="A16" s="69" t="s">
        <v>27</v>
      </c>
      <c r="B16" s="1564" t="s">
        <v>91</v>
      </c>
      <c r="C16" s="1564"/>
      <c r="D16" s="1564"/>
      <c r="E16" s="270">
        <f aca="true" t="shared" si="9" ref="E16:M16">SUM(E17:E19)</f>
        <v>130152692</v>
      </c>
      <c r="F16" s="270">
        <f t="shared" si="9"/>
        <v>130652781</v>
      </c>
      <c r="G16" s="270">
        <f t="shared" si="9"/>
        <v>130690281</v>
      </c>
      <c r="H16" s="270">
        <f>SUM(H17:H19)</f>
        <v>243895504</v>
      </c>
      <c r="I16" s="270">
        <f t="shared" si="9"/>
        <v>293465044</v>
      </c>
      <c r="J16" s="270">
        <f t="shared" si="9"/>
        <v>132698905</v>
      </c>
      <c r="K16" s="910">
        <f t="shared" si="5"/>
        <v>0.4521795958771839</v>
      </c>
      <c r="L16" s="270">
        <f t="shared" si="9"/>
        <v>116037248</v>
      </c>
      <c r="M16" s="270">
        <f t="shared" si="9"/>
        <v>116537337</v>
      </c>
      <c r="N16" s="270">
        <f aca="true" t="shared" si="10" ref="N16:W16">SUM(N17:N19)</f>
        <v>116574837</v>
      </c>
      <c r="O16" s="270">
        <f t="shared" si="10"/>
        <v>228930060</v>
      </c>
      <c r="P16" s="270">
        <f t="shared" si="10"/>
        <v>278079600</v>
      </c>
      <c r="Q16" s="270">
        <f>SUM(Q17:Q19)</f>
        <v>119965980</v>
      </c>
      <c r="R16" s="910">
        <f t="shared" si="6"/>
        <v>0.43140877647982806</v>
      </c>
      <c r="S16" s="270">
        <f t="shared" si="10"/>
        <v>14115444</v>
      </c>
      <c r="T16" s="270">
        <f t="shared" si="10"/>
        <v>14115444</v>
      </c>
      <c r="U16" s="270">
        <f t="shared" si="10"/>
        <v>14115444</v>
      </c>
      <c r="V16" s="270">
        <f t="shared" si="10"/>
        <v>14965444</v>
      </c>
      <c r="W16" s="270">
        <f t="shared" si="10"/>
        <v>15385444</v>
      </c>
      <c r="X16" s="270">
        <f>SUM(X17:X19)</f>
        <v>12732925</v>
      </c>
      <c r="Y16" s="910">
        <f t="shared" si="8"/>
        <v>0.8275955507036391</v>
      </c>
      <c r="Z16" s="270">
        <f aca="true" t="shared" si="11" ref="Z16:AE16">SUM(Z17:Z19)</f>
        <v>0</v>
      </c>
      <c r="AA16" s="270">
        <f t="shared" si="11"/>
        <v>0</v>
      </c>
      <c r="AB16" s="270">
        <f t="shared" si="11"/>
        <v>0</v>
      </c>
      <c r="AC16" s="270">
        <f t="shared" si="11"/>
        <v>0</v>
      </c>
      <c r="AD16" s="270">
        <f t="shared" si="11"/>
        <v>0</v>
      </c>
      <c r="AE16" s="270">
        <f t="shared" si="11"/>
        <v>0</v>
      </c>
      <c r="AF16" s="910"/>
    </row>
    <row r="17" spans="1:32" s="4" customFormat="1" ht="33" customHeight="1">
      <c r="A17" s="68"/>
      <c r="B17" s="73" t="s">
        <v>38</v>
      </c>
      <c r="C17" s="1558" t="s">
        <v>92</v>
      </c>
      <c r="D17" s="1558"/>
      <c r="E17" s="271">
        <f>'4.sz.m.ÖNK kiadás'!E18+'5.1 sz. m Köz Hiv'!D41+'5.2 sz. m ÁMK'!D44+'üres lap'!D33</f>
        <v>47648344</v>
      </c>
      <c r="F17" s="271">
        <f>'4.sz.m.ÖNK kiadás'!F18+'5.1 sz. m Köz Hiv'!E41+'5.2 sz. m ÁMK'!E44+'üres lap'!E33</f>
        <v>48148344</v>
      </c>
      <c r="G17" s="271">
        <f>'4.sz.m.ÖNK kiadás'!G18+'5.1 sz. m Köz Hiv'!F41+'5.2 sz. m ÁMK'!F44+'üres lap'!F33</f>
        <v>48185844</v>
      </c>
      <c r="H17" s="271">
        <f>'4.sz.m.ÖNK kiadás'!H18+'5.1 sz. m Köz Hiv'!G41+'5.2 sz. m ÁMK'!G44+'üres lap'!G33</f>
        <v>84350467</v>
      </c>
      <c r="I17" s="271">
        <f>'4.sz.m.ÖNK kiadás'!I18+'5.1 sz. m Köz Hiv'!H41+'5.2 sz. m ÁMK'!H44+'üres lap'!H33</f>
        <v>91838718</v>
      </c>
      <c r="J17" s="271">
        <f>'4.sz.m.ÖNK kiadás'!J18+'5.1 sz. m Köz Hiv'!I41+'5.2 sz. m ÁMK'!I44+'üres lap'!I33</f>
        <v>50787241</v>
      </c>
      <c r="K17" s="911">
        <f t="shared" si="5"/>
        <v>0.5530046815331199</v>
      </c>
      <c r="L17" s="271">
        <f>'4.sz.m.ÖNK kiadás'!L18+'5.1 sz. m Köz Hiv'!L41+'5.2 sz. m ÁMK'!L44</f>
        <v>44526032</v>
      </c>
      <c r="M17" s="271">
        <f>'4.sz.m.ÖNK kiadás'!M18+'5.1 sz. m Köz Hiv'!M41+'5.2 sz. m ÁMK'!M44</f>
        <v>45026032</v>
      </c>
      <c r="N17" s="271">
        <f>'4.sz.m.ÖNK kiadás'!N18+'5.1 sz. m Köz Hiv'!N41+'5.2 sz. m ÁMK'!N44</f>
        <v>45063532</v>
      </c>
      <c r="O17" s="271">
        <f>'4.sz.m.ÖNK kiadás'!O18+'5.1 sz. m Köz Hiv'!O41+'5.2 sz. m ÁMK'!O44</f>
        <v>81228155</v>
      </c>
      <c r="P17" s="271">
        <f>'4.sz.m.ÖNK kiadás'!P18+'5.1 sz. m Köz Hiv'!P41+'5.2 sz. m ÁMK'!P44</f>
        <v>88716406</v>
      </c>
      <c r="Q17" s="271">
        <f>'4.sz.m.ÖNK kiadás'!Q18+'5.1 sz. m Köz Hiv'!Q41+'5.2 sz. m ÁMK'!Q44</f>
        <v>48180941</v>
      </c>
      <c r="R17" s="911">
        <f t="shared" si="6"/>
        <v>0.5430894146004968</v>
      </c>
      <c r="S17" s="271">
        <f>'4.sz.m.ÖNK kiadás'!S18</f>
        <v>3122312</v>
      </c>
      <c r="T17" s="271">
        <f>'4.sz.m.ÖNK kiadás'!T18</f>
        <v>3122312</v>
      </c>
      <c r="U17" s="271">
        <f>'4.sz.m.ÖNK kiadás'!U18</f>
        <v>3122312</v>
      </c>
      <c r="V17" s="271">
        <f>'4.sz.m.ÖNK kiadás'!V18</f>
        <v>3122312</v>
      </c>
      <c r="W17" s="271">
        <f>'4.sz.m.ÖNK kiadás'!W18</f>
        <v>3122312</v>
      </c>
      <c r="X17" s="271">
        <f>'4.sz.m.ÖNK kiadás'!X18</f>
        <v>2606300</v>
      </c>
      <c r="Y17" s="911">
        <f t="shared" si="8"/>
        <v>0.8347340048015701</v>
      </c>
      <c r="Z17" s="271">
        <v>0</v>
      </c>
      <c r="AA17" s="271">
        <v>0</v>
      </c>
      <c r="AB17" s="271">
        <v>0</v>
      </c>
      <c r="AC17" s="271">
        <v>0</v>
      </c>
      <c r="AD17" s="271">
        <v>0</v>
      </c>
      <c r="AE17" s="271">
        <v>0</v>
      </c>
      <c r="AF17" s="911"/>
    </row>
    <row r="18" spans="1:32" s="4" customFormat="1" ht="33" customHeight="1">
      <c r="A18" s="51"/>
      <c r="B18" s="60" t="s">
        <v>39</v>
      </c>
      <c r="C18" s="1560" t="s">
        <v>93</v>
      </c>
      <c r="D18" s="1560"/>
      <c r="E18" s="271">
        <f>'4.sz.m.ÖNK kiadás'!E19</f>
        <v>75804348</v>
      </c>
      <c r="F18" s="271">
        <f>'4.sz.m.ÖNK kiadás'!F19</f>
        <v>75804348</v>
      </c>
      <c r="G18" s="271">
        <f>'4.sz.m.ÖNK kiadás'!G19</f>
        <v>75804348</v>
      </c>
      <c r="H18" s="271">
        <f>'4.sz.m.ÖNK kiadás'!H19</f>
        <v>151989948</v>
      </c>
      <c r="I18" s="271">
        <f>'4.sz.m.ÖNK kiadás'!I19</f>
        <v>193651237</v>
      </c>
      <c r="J18" s="271">
        <f>'4.sz.m.ÖNK kiadás'!J19</f>
        <v>74006575</v>
      </c>
      <c r="K18" s="911">
        <f t="shared" si="5"/>
        <v>0.3821642254730343</v>
      </c>
      <c r="L18" s="271">
        <f>'4.sz.m.ÖNK kiadás'!L19+'5.1 sz. m Köz Hiv'!L42+'5.2 sz. m ÁMK'!L45</f>
        <v>71511216</v>
      </c>
      <c r="M18" s="271">
        <f>'4.sz.m.ÖNK kiadás'!M19+'5.1 sz. m Köz Hiv'!M42+'5.2 sz. m ÁMK'!M45</f>
        <v>71511216</v>
      </c>
      <c r="N18" s="271">
        <f>'4.sz.m.ÖNK kiadás'!N19+'5.1 sz. m Köz Hiv'!N42+'5.2 sz. m ÁMK'!N45</f>
        <v>71511216</v>
      </c>
      <c r="O18" s="271">
        <f>'4.sz.m.ÖNK kiadás'!O19+'5.1 sz. m Köz Hiv'!O42+'5.2 sz. m ÁMK'!O45</f>
        <v>147696816</v>
      </c>
      <c r="P18" s="271">
        <f>'4.sz.m.ÖNK kiadás'!P19+'5.1 sz. m Köz Hiv'!P42+'5.2 sz. m ÁMK'!P45</f>
        <v>189358105</v>
      </c>
      <c r="Q18" s="271">
        <f>'4.sz.m.ÖNK kiadás'!Q19+'5.1 sz. m Köz Hiv'!Q42+'5.2 sz. m ÁMK'!Q45</f>
        <v>71779950</v>
      </c>
      <c r="R18" s="911">
        <f t="shared" si="6"/>
        <v>0.3790698581399513</v>
      </c>
      <c r="S18" s="271">
        <f>'4.sz.m.ÖNK kiadás'!S19</f>
        <v>4293132</v>
      </c>
      <c r="T18" s="271">
        <f>'4.sz.m.ÖNK kiadás'!T19</f>
        <v>4293132</v>
      </c>
      <c r="U18" s="271">
        <f>'4.sz.m.ÖNK kiadás'!U19</f>
        <v>4293132</v>
      </c>
      <c r="V18" s="271">
        <f>'4.sz.m.ÖNK kiadás'!V19</f>
        <v>4293132</v>
      </c>
      <c r="W18" s="271">
        <f>'4.sz.m.ÖNK kiadás'!W19</f>
        <v>4293132</v>
      </c>
      <c r="X18" s="271">
        <f>'4.sz.m.ÖNK kiadás'!X19</f>
        <v>2226625</v>
      </c>
      <c r="Y18" s="911">
        <f t="shared" si="8"/>
        <v>0.5186481571030195</v>
      </c>
      <c r="Z18" s="271">
        <v>0</v>
      </c>
      <c r="AA18" s="271">
        <v>0</v>
      </c>
      <c r="AB18" s="271">
        <v>0</v>
      </c>
      <c r="AC18" s="271">
        <v>0</v>
      </c>
      <c r="AD18" s="271">
        <v>0</v>
      </c>
      <c r="AE18" s="271">
        <v>0</v>
      </c>
      <c r="AF18" s="911"/>
    </row>
    <row r="19" spans="1:32" s="4" customFormat="1" ht="33" customHeight="1">
      <c r="A19" s="80"/>
      <c r="B19" s="60" t="s">
        <v>40</v>
      </c>
      <c r="C19" s="1517" t="s">
        <v>94</v>
      </c>
      <c r="D19" s="1517"/>
      <c r="E19" s="271">
        <f>'4.sz.m.ÖNK kiadás'!E20</f>
        <v>6700000</v>
      </c>
      <c r="F19" s="271">
        <f>'4.sz.m.ÖNK kiadás'!F20</f>
        <v>6700089</v>
      </c>
      <c r="G19" s="271">
        <f>'4.sz.m.ÖNK kiadás'!G20</f>
        <v>6700089</v>
      </c>
      <c r="H19" s="271">
        <f>'4.sz.m.ÖNK kiadás'!H20</f>
        <v>7555089</v>
      </c>
      <c r="I19" s="271">
        <f>'4.sz.m.ÖNK kiadás'!I20</f>
        <v>7975089</v>
      </c>
      <c r="J19" s="271">
        <f>'4.sz.m.ÖNK kiadás'!J20</f>
        <v>7905089</v>
      </c>
      <c r="K19" s="911">
        <f t="shared" si="5"/>
        <v>0.9912226684868345</v>
      </c>
      <c r="L19" s="271">
        <f>'4.sz.m.ÖNK kiadás'!L20</f>
        <v>0</v>
      </c>
      <c r="M19" s="271">
        <f>'4.sz.m.ÖNK kiadás'!M20</f>
        <v>89</v>
      </c>
      <c r="N19" s="271">
        <f>'4.sz.m.ÖNK kiadás'!N20</f>
        <v>89</v>
      </c>
      <c r="O19" s="271">
        <f>'4.sz.m.ÖNK kiadás'!O20</f>
        <v>5089</v>
      </c>
      <c r="P19" s="271">
        <f>'4.sz.m.ÖNK kiadás'!P20</f>
        <v>5089</v>
      </c>
      <c r="Q19" s="271">
        <f>'4.sz.m.ÖNK kiadás'!Q20</f>
        <v>5089</v>
      </c>
      <c r="R19" s="911">
        <f t="shared" si="6"/>
        <v>1</v>
      </c>
      <c r="S19" s="271">
        <f>'4.sz.m.ÖNK kiadás'!S20</f>
        <v>6700000</v>
      </c>
      <c r="T19" s="271">
        <f>'4.sz.m.ÖNK kiadás'!T20</f>
        <v>6700000</v>
      </c>
      <c r="U19" s="271">
        <f>'4.sz.m.ÖNK kiadás'!U20</f>
        <v>6700000</v>
      </c>
      <c r="V19" s="271">
        <f>'4.sz.m.ÖNK kiadás'!V20</f>
        <v>7550000</v>
      </c>
      <c r="W19" s="271">
        <f>'4.sz.m.ÖNK kiadás'!W20</f>
        <v>7970000</v>
      </c>
      <c r="X19" s="271">
        <f>'4.sz.m.ÖNK kiadás'!X20</f>
        <v>7900000</v>
      </c>
      <c r="Y19" s="911">
        <f t="shared" si="8"/>
        <v>0.9912170639899623</v>
      </c>
      <c r="Z19" s="271">
        <v>0</v>
      </c>
      <c r="AA19" s="271">
        <v>0</v>
      </c>
      <c r="AB19" s="271">
        <v>0</v>
      </c>
      <c r="AC19" s="271">
        <v>0</v>
      </c>
      <c r="AD19" s="271">
        <v>0</v>
      </c>
      <c r="AE19" s="271">
        <v>0</v>
      </c>
      <c r="AF19" s="911"/>
    </row>
    <row r="20" spans="1:32" s="4" customFormat="1" ht="33" customHeight="1">
      <c r="A20" s="57"/>
      <c r="B20" s="61"/>
      <c r="C20" s="61" t="s">
        <v>95</v>
      </c>
      <c r="D20" s="184" t="s">
        <v>85</v>
      </c>
      <c r="E20" s="271">
        <f>'4.sz.m.ÖNK kiadás'!E21</f>
        <v>6700000</v>
      </c>
      <c r="F20" s="271">
        <f>'4.sz.m.ÖNK kiadás'!F21</f>
        <v>6700000</v>
      </c>
      <c r="G20" s="271">
        <f>'4.sz.m.ÖNK kiadás'!G21</f>
        <v>6700000</v>
      </c>
      <c r="H20" s="271">
        <f>'4.sz.m.ÖNK kiadás'!H21</f>
        <v>7550000</v>
      </c>
      <c r="I20" s="271">
        <f>'4.sz.m.ÖNK kiadás'!I21</f>
        <v>7970000</v>
      </c>
      <c r="J20" s="271">
        <f>'4.sz.m.ÖNK kiadás'!J21</f>
        <v>7900000</v>
      </c>
      <c r="K20" s="911">
        <f t="shared" si="5"/>
        <v>0.9912170639899623</v>
      </c>
      <c r="L20" s="271">
        <f>'4.sz.m.ÖNK kiadás'!L21</f>
        <v>0</v>
      </c>
      <c r="M20" s="271">
        <f>'4.sz.m.ÖNK kiadás'!M21</f>
        <v>0</v>
      </c>
      <c r="N20" s="271">
        <f>'4.sz.m.ÖNK kiadás'!N21</f>
        <v>0</v>
      </c>
      <c r="O20" s="271">
        <f>'4.sz.m.ÖNK kiadás'!O21</f>
        <v>0</v>
      </c>
      <c r="P20" s="271">
        <f>'4.sz.m.ÖNK kiadás'!P21</f>
        <v>0</v>
      </c>
      <c r="Q20" s="271">
        <f>'4.sz.m.ÖNK kiadás'!Q21</f>
        <v>0</v>
      </c>
      <c r="R20" s="911"/>
      <c r="S20" s="271">
        <f>'4.sz.m.ÖNK kiadás'!S21</f>
        <v>6700000</v>
      </c>
      <c r="T20" s="271">
        <f>'4.sz.m.ÖNK kiadás'!T21</f>
        <v>6700000</v>
      </c>
      <c r="U20" s="271">
        <f>'4.sz.m.ÖNK kiadás'!U21</f>
        <v>6700000</v>
      </c>
      <c r="V20" s="271">
        <f>'4.sz.m.ÖNK kiadás'!V21</f>
        <v>7550000</v>
      </c>
      <c r="W20" s="271">
        <f>'4.sz.m.ÖNK kiadás'!W21</f>
        <v>7970000</v>
      </c>
      <c r="X20" s="271">
        <f>'4.sz.m.ÖNK kiadás'!X21</f>
        <v>7900000</v>
      </c>
      <c r="Y20" s="911">
        <f t="shared" si="8"/>
        <v>0.9912170639899623</v>
      </c>
      <c r="Z20" s="271">
        <v>0</v>
      </c>
      <c r="AA20" s="271">
        <v>0</v>
      </c>
      <c r="AB20" s="271">
        <v>0</v>
      </c>
      <c r="AC20" s="271">
        <v>0</v>
      </c>
      <c r="AD20" s="271">
        <v>0</v>
      </c>
      <c r="AE20" s="271">
        <v>0</v>
      </c>
      <c r="AF20" s="911"/>
    </row>
    <row r="21" spans="1:32" s="4" customFormat="1" ht="33" customHeight="1">
      <c r="A21" s="57"/>
      <c r="B21" s="61"/>
      <c r="C21" s="61" t="s">
        <v>96</v>
      </c>
      <c r="D21" s="184" t="s">
        <v>86</v>
      </c>
      <c r="E21" s="271">
        <f>'4.sz.m.ÖNK kiadás'!E22</f>
        <v>0</v>
      </c>
      <c r="F21" s="271">
        <f>'4.sz.m.ÖNK kiadás'!F22</f>
        <v>89</v>
      </c>
      <c r="G21" s="271">
        <f>'4.sz.m.ÖNK kiadás'!G22</f>
        <v>89</v>
      </c>
      <c r="H21" s="271">
        <f>'4.sz.m.ÖNK kiadás'!H22</f>
        <v>5089</v>
      </c>
      <c r="I21" s="271">
        <f>'4.sz.m.ÖNK kiadás'!I22</f>
        <v>5089</v>
      </c>
      <c r="J21" s="271">
        <f>'4.sz.m.ÖNK kiadás'!J22</f>
        <v>5089</v>
      </c>
      <c r="K21" s="911">
        <f t="shared" si="5"/>
        <v>1</v>
      </c>
      <c r="L21" s="271">
        <f>'4.sz.m.ÖNK kiadás'!L22</f>
        <v>0</v>
      </c>
      <c r="M21" s="271">
        <f>'4.sz.m.ÖNK kiadás'!M22</f>
        <v>89</v>
      </c>
      <c r="N21" s="271">
        <f>'4.sz.m.ÖNK kiadás'!N22</f>
        <v>89</v>
      </c>
      <c r="O21" s="271">
        <f>'4.sz.m.ÖNK kiadás'!O22</f>
        <v>5089</v>
      </c>
      <c r="P21" s="271">
        <f>'4.sz.m.ÖNK kiadás'!P22</f>
        <v>5089</v>
      </c>
      <c r="Q21" s="271">
        <f>'4.sz.m.ÖNK kiadás'!Q22</f>
        <v>5089</v>
      </c>
      <c r="R21" s="911">
        <f t="shared" si="6"/>
        <v>1</v>
      </c>
      <c r="S21" s="271">
        <v>0</v>
      </c>
      <c r="T21" s="271">
        <v>0</v>
      </c>
      <c r="U21" s="271">
        <v>0</v>
      </c>
      <c r="V21" s="271">
        <v>0</v>
      </c>
      <c r="W21" s="271">
        <v>0</v>
      </c>
      <c r="X21" s="271">
        <v>0</v>
      </c>
      <c r="Y21" s="911"/>
      <c r="Z21" s="271">
        <v>0</v>
      </c>
      <c r="AA21" s="271">
        <v>0</v>
      </c>
      <c r="AB21" s="271">
        <v>0</v>
      </c>
      <c r="AC21" s="271">
        <v>0</v>
      </c>
      <c r="AD21" s="271">
        <v>0</v>
      </c>
      <c r="AE21" s="271">
        <v>0</v>
      </c>
      <c r="AF21" s="911"/>
    </row>
    <row r="22" spans="1:32" s="4" customFormat="1" ht="33" customHeight="1">
      <c r="A22" s="80"/>
      <c r="B22" s="184"/>
      <c r="C22" s="61" t="s">
        <v>97</v>
      </c>
      <c r="D22" s="184" t="s">
        <v>463</v>
      </c>
      <c r="E22" s="271">
        <f>'4.sz.m.ÖNK kiadás'!E23</f>
        <v>0</v>
      </c>
      <c r="F22" s="271">
        <f>'4.sz.m.ÖNK kiadás'!F23</f>
        <v>0</v>
      </c>
      <c r="G22" s="271">
        <f>'4.sz.m.ÖNK kiadás'!G23</f>
        <v>0</v>
      </c>
      <c r="H22" s="271">
        <f>'4.sz.m.ÖNK kiadás'!H23</f>
        <v>0</v>
      </c>
      <c r="I22" s="271">
        <f>'4.sz.m.ÖNK kiadás'!I23</f>
        <v>0</v>
      </c>
      <c r="J22" s="271">
        <f>'4.sz.m.ÖNK kiadás'!J23</f>
        <v>0</v>
      </c>
      <c r="K22" s="911"/>
      <c r="L22" s="271">
        <f>'4.sz.m.ÖNK kiadás'!L23</f>
        <v>0</v>
      </c>
      <c r="M22" s="271">
        <f>'4.sz.m.ÖNK kiadás'!M23</f>
        <v>0</v>
      </c>
      <c r="N22" s="271">
        <f>'4.sz.m.ÖNK kiadás'!N23</f>
        <v>0</v>
      </c>
      <c r="O22" s="271">
        <f>'4.sz.m.ÖNK kiadás'!O23</f>
        <v>0</v>
      </c>
      <c r="P22" s="271">
        <f>'4.sz.m.ÖNK kiadás'!P23</f>
        <v>0</v>
      </c>
      <c r="Q22" s="271">
        <f>'4.sz.m.ÖNK kiadás'!Q23</f>
        <v>0</v>
      </c>
      <c r="R22" s="911"/>
      <c r="S22" s="271">
        <v>0</v>
      </c>
      <c r="T22" s="271">
        <v>0</v>
      </c>
      <c r="U22" s="271">
        <v>0</v>
      </c>
      <c r="V22" s="271">
        <v>0</v>
      </c>
      <c r="W22" s="271">
        <v>0</v>
      </c>
      <c r="X22" s="271">
        <v>0</v>
      </c>
      <c r="Y22" s="911"/>
      <c r="Z22" s="271">
        <v>0</v>
      </c>
      <c r="AA22" s="271">
        <v>0</v>
      </c>
      <c r="AB22" s="271">
        <v>0</v>
      </c>
      <c r="AC22" s="271">
        <v>0</v>
      </c>
      <c r="AD22" s="271">
        <v>0</v>
      </c>
      <c r="AE22" s="271">
        <v>0</v>
      </c>
      <c r="AF22" s="911"/>
    </row>
    <row r="23" spans="1:32" s="4" customFormat="1" ht="33" customHeight="1" thickBot="1">
      <c r="A23" s="207"/>
      <c r="B23" s="208"/>
      <c r="C23" s="209" t="s">
        <v>207</v>
      </c>
      <c r="D23" s="208" t="s">
        <v>208</v>
      </c>
      <c r="E23" s="271">
        <f>'4.sz.m.ÖNK kiadás'!E24</f>
        <v>0</v>
      </c>
      <c r="F23" s="271">
        <f>'4.sz.m.ÖNK kiadás'!F24</f>
        <v>0</v>
      </c>
      <c r="G23" s="271">
        <f>'4.sz.m.ÖNK kiadás'!G24</f>
        <v>0</v>
      </c>
      <c r="H23" s="271">
        <f>'4.sz.m.ÖNK kiadás'!H24</f>
        <v>0</v>
      </c>
      <c r="I23" s="271">
        <f>'4.sz.m.ÖNK kiadás'!I24</f>
        <v>0</v>
      </c>
      <c r="J23" s="271">
        <f>'4.sz.m.ÖNK kiadás'!J24</f>
        <v>0</v>
      </c>
      <c r="K23" s="911"/>
      <c r="L23" s="271">
        <f>'4.sz.m.ÖNK kiadás'!L24</f>
        <v>0</v>
      </c>
      <c r="M23" s="271">
        <f>'4.sz.m.ÖNK kiadás'!M24</f>
        <v>0</v>
      </c>
      <c r="N23" s="271">
        <f>'4.sz.m.ÖNK kiadás'!N24</f>
        <v>0</v>
      </c>
      <c r="O23" s="271">
        <f>'4.sz.m.ÖNK kiadás'!O24</f>
        <v>0</v>
      </c>
      <c r="P23" s="271">
        <f>'4.sz.m.ÖNK kiadás'!P24</f>
        <v>0</v>
      </c>
      <c r="Q23" s="271">
        <f>'4.sz.m.ÖNK kiadás'!Q24</f>
        <v>0</v>
      </c>
      <c r="R23" s="911"/>
      <c r="S23" s="271">
        <v>0</v>
      </c>
      <c r="T23" s="271">
        <v>0</v>
      </c>
      <c r="U23" s="271">
        <v>0</v>
      </c>
      <c r="V23" s="271">
        <v>0</v>
      </c>
      <c r="W23" s="271">
        <v>0</v>
      </c>
      <c r="X23" s="271">
        <v>0</v>
      </c>
      <c r="Y23" s="911"/>
      <c r="Z23" s="271">
        <v>0</v>
      </c>
      <c r="AA23" s="271">
        <v>0</v>
      </c>
      <c r="AB23" s="271">
        <v>0</v>
      </c>
      <c r="AC23" s="271">
        <v>0</v>
      </c>
      <c r="AD23" s="271">
        <v>0</v>
      </c>
      <c r="AE23" s="271">
        <v>0</v>
      </c>
      <c r="AF23" s="911"/>
    </row>
    <row r="24" spans="1:32" s="4" customFormat="1" ht="33" customHeight="1" thickBot="1">
      <c r="A24" s="69" t="s">
        <v>9</v>
      </c>
      <c r="B24" s="1564" t="s">
        <v>98</v>
      </c>
      <c r="C24" s="1564"/>
      <c r="D24" s="1564"/>
      <c r="E24" s="270">
        <f aca="true" t="shared" si="12" ref="E24:M24">SUM(E25:E27)</f>
        <v>86768299</v>
      </c>
      <c r="F24" s="270">
        <f t="shared" si="12"/>
        <v>79038902</v>
      </c>
      <c r="G24" s="270">
        <f t="shared" si="12"/>
        <v>67762298</v>
      </c>
      <c r="H24" s="270">
        <f>SUM(H25:H27)</f>
        <v>66635603</v>
      </c>
      <c r="I24" s="270">
        <f t="shared" si="12"/>
        <v>0</v>
      </c>
      <c r="J24" s="270">
        <f t="shared" si="12"/>
        <v>0</v>
      </c>
      <c r="K24" s="910"/>
      <c r="L24" s="270">
        <f t="shared" si="12"/>
        <v>86768299</v>
      </c>
      <c r="M24" s="270">
        <f t="shared" si="12"/>
        <v>79038902</v>
      </c>
      <c r="N24" s="270">
        <f>SUM(N25:N27)</f>
        <v>67762298</v>
      </c>
      <c r="O24" s="270">
        <f>SUM(O25:O27)</f>
        <v>66635603</v>
      </c>
      <c r="P24" s="270">
        <f>SUM(P25:P27)</f>
        <v>0</v>
      </c>
      <c r="Q24" s="270">
        <f>SUM(Q25:Q27)</f>
        <v>0</v>
      </c>
      <c r="R24" s="910"/>
      <c r="S24" s="270">
        <f aca="true" t="shared" si="13" ref="S24:X24">SUM(S25:S27)</f>
        <v>0</v>
      </c>
      <c r="T24" s="270">
        <f t="shared" si="13"/>
        <v>0</v>
      </c>
      <c r="U24" s="270">
        <f t="shared" si="13"/>
        <v>0</v>
      </c>
      <c r="V24" s="270">
        <f t="shared" si="13"/>
        <v>0</v>
      </c>
      <c r="W24" s="270">
        <f t="shared" si="13"/>
        <v>0</v>
      </c>
      <c r="X24" s="270">
        <f t="shared" si="13"/>
        <v>0</v>
      </c>
      <c r="Y24" s="910"/>
      <c r="Z24" s="270">
        <f aca="true" t="shared" si="14" ref="Z24:AE24">SUM(Z25:Z27)</f>
        <v>0</v>
      </c>
      <c r="AA24" s="270">
        <f t="shared" si="14"/>
        <v>0</v>
      </c>
      <c r="AB24" s="270">
        <f t="shared" si="14"/>
        <v>0</v>
      </c>
      <c r="AC24" s="270">
        <f t="shared" si="14"/>
        <v>0</v>
      </c>
      <c r="AD24" s="270">
        <f t="shared" si="14"/>
        <v>0</v>
      </c>
      <c r="AE24" s="270">
        <f t="shared" si="14"/>
        <v>0</v>
      </c>
      <c r="AF24" s="910"/>
    </row>
    <row r="25" spans="1:32" s="4" customFormat="1" ht="33" customHeight="1">
      <c r="A25" s="68"/>
      <c r="B25" s="73" t="s">
        <v>41</v>
      </c>
      <c r="C25" s="1558" t="s">
        <v>2</v>
      </c>
      <c r="D25" s="1558"/>
      <c r="E25" s="271">
        <f>'4.sz.m.ÖNK kiadás'!E26</f>
        <v>86768299</v>
      </c>
      <c r="F25" s="271">
        <f>'4.sz.m.ÖNK kiadás'!F26</f>
        <v>79038902</v>
      </c>
      <c r="G25" s="271">
        <f>'4.sz.m.ÖNK kiadás'!G26</f>
        <v>67762298</v>
      </c>
      <c r="H25" s="271">
        <f>'4.sz.m.ÖNK kiadás'!H26</f>
        <v>66635603</v>
      </c>
      <c r="I25" s="271">
        <f>'4.sz.m.ÖNK kiadás'!I26</f>
        <v>0</v>
      </c>
      <c r="J25" s="271">
        <f>'4.sz.m.ÖNK kiadás'!J26</f>
        <v>0</v>
      </c>
      <c r="K25" s="911"/>
      <c r="L25" s="271">
        <f>'4.sz.m.ÖNK kiadás'!L26</f>
        <v>86768299</v>
      </c>
      <c r="M25" s="271">
        <f>'4.sz.m.ÖNK kiadás'!M26</f>
        <v>79038902</v>
      </c>
      <c r="N25" s="271">
        <f>'4.sz.m.ÖNK kiadás'!N26</f>
        <v>67762298</v>
      </c>
      <c r="O25" s="271">
        <f>'4.sz.m.ÖNK kiadás'!O26</f>
        <v>66635603</v>
      </c>
      <c r="P25" s="271">
        <f>'4.sz.m.ÖNK kiadás'!P26</f>
        <v>0</v>
      </c>
      <c r="Q25" s="271">
        <f>'4.sz.m.ÖNK kiadás'!Q26</f>
        <v>0</v>
      </c>
      <c r="R25" s="911"/>
      <c r="S25" s="271">
        <v>0</v>
      </c>
      <c r="T25" s="271">
        <v>0</v>
      </c>
      <c r="U25" s="271">
        <v>0</v>
      </c>
      <c r="V25" s="271">
        <v>0</v>
      </c>
      <c r="W25" s="271">
        <v>0</v>
      </c>
      <c r="X25" s="271">
        <v>0</v>
      </c>
      <c r="Y25" s="911"/>
      <c r="Z25" s="271">
        <v>0</v>
      </c>
      <c r="AA25" s="271">
        <v>0</v>
      </c>
      <c r="AB25" s="271">
        <v>0</v>
      </c>
      <c r="AC25" s="271">
        <v>0</v>
      </c>
      <c r="AD25" s="271">
        <v>0</v>
      </c>
      <c r="AE25" s="271">
        <v>0</v>
      </c>
      <c r="AF25" s="911"/>
    </row>
    <row r="26" spans="1:32" s="7" customFormat="1" ht="33" customHeight="1">
      <c r="A26" s="78"/>
      <c r="B26" s="60" t="s">
        <v>42</v>
      </c>
      <c r="C26" s="1571" t="s">
        <v>277</v>
      </c>
      <c r="D26" s="1571"/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911"/>
      <c r="L26" s="271">
        <v>0</v>
      </c>
      <c r="M26" s="271">
        <v>0</v>
      </c>
      <c r="N26" s="271">
        <v>0</v>
      </c>
      <c r="O26" s="271">
        <v>0</v>
      </c>
      <c r="P26" s="271">
        <v>0</v>
      </c>
      <c r="Q26" s="271">
        <v>0</v>
      </c>
      <c r="R26" s="911"/>
      <c r="S26" s="271">
        <v>0</v>
      </c>
      <c r="T26" s="271">
        <v>0</v>
      </c>
      <c r="U26" s="271">
        <v>0</v>
      </c>
      <c r="V26" s="271">
        <v>0</v>
      </c>
      <c r="W26" s="271">
        <v>0</v>
      </c>
      <c r="X26" s="271">
        <v>0</v>
      </c>
      <c r="Y26" s="911"/>
      <c r="Z26" s="271">
        <v>0</v>
      </c>
      <c r="AA26" s="271">
        <v>0</v>
      </c>
      <c r="AB26" s="271">
        <v>0</v>
      </c>
      <c r="AC26" s="271">
        <v>0</v>
      </c>
      <c r="AD26" s="271">
        <v>0</v>
      </c>
      <c r="AE26" s="271">
        <v>0</v>
      </c>
      <c r="AF26" s="911"/>
    </row>
    <row r="27" spans="1:32" s="7" customFormat="1" ht="33" customHeight="1" thickBot="1">
      <c r="A27" s="84"/>
      <c r="B27" s="74" t="s">
        <v>66</v>
      </c>
      <c r="C27" s="85" t="s">
        <v>99</v>
      </c>
      <c r="D27" s="85"/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911"/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271">
        <v>0</v>
      </c>
      <c r="R27" s="911"/>
      <c r="S27" s="271">
        <v>0</v>
      </c>
      <c r="T27" s="271">
        <v>0</v>
      </c>
      <c r="U27" s="271">
        <v>0</v>
      </c>
      <c r="V27" s="271">
        <v>0</v>
      </c>
      <c r="W27" s="271">
        <v>0</v>
      </c>
      <c r="X27" s="271">
        <v>0</v>
      </c>
      <c r="Y27" s="911"/>
      <c r="Z27" s="271">
        <v>0</v>
      </c>
      <c r="AA27" s="271">
        <v>0</v>
      </c>
      <c r="AB27" s="271">
        <v>0</v>
      </c>
      <c r="AC27" s="271">
        <v>0</v>
      </c>
      <c r="AD27" s="271">
        <v>0</v>
      </c>
      <c r="AE27" s="271">
        <v>0</v>
      </c>
      <c r="AF27" s="911"/>
    </row>
    <row r="28" spans="1:32" s="7" customFormat="1" ht="33" customHeight="1" thickBot="1">
      <c r="A28" s="48" t="s">
        <v>10</v>
      </c>
      <c r="B28" s="75" t="s">
        <v>100</v>
      </c>
      <c r="C28" s="75"/>
      <c r="D28" s="75"/>
      <c r="E28" s="272">
        <v>0</v>
      </c>
      <c r="F28" s="272">
        <v>0</v>
      </c>
      <c r="G28" s="272">
        <v>0</v>
      </c>
      <c r="H28" s="272">
        <v>0</v>
      </c>
      <c r="I28" s="272">
        <v>0</v>
      </c>
      <c r="J28" s="272">
        <v>0</v>
      </c>
      <c r="K28" s="912"/>
      <c r="L28" s="272">
        <v>0</v>
      </c>
      <c r="M28" s="272">
        <v>0</v>
      </c>
      <c r="N28" s="272">
        <v>0</v>
      </c>
      <c r="O28" s="272">
        <v>0</v>
      </c>
      <c r="P28" s="272">
        <v>0</v>
      </c>
      <c r="Q28" s="272">
        <v>0</v>
      </c>
      <c r="R28" s="912"/>
      <c r="S28" s="272">
        <v>0</v>
      </c>
      <c r="T28" s="272">
        <v>0</v>
      </c>
      <c r="U28" s="272">
        <v>0</v>
      </c>
      <c r="V28" s="272">
        <v>0</v>
      </c>
      <c r="W28" s="272">
        <v>0</v>
      </c>
      <c r="X28" s="272">
        <v>0</v>
      </c>
      <c r="Y28" s="912"/>
      <c r="Z28" s="272">
        <v>0</v>
      </c>
      <c r="AA28" s="272">
        <v>0</v>
      </c>
      <c r="AB28" s="272">
        <v>0</v>
      </c>
      <c r="AC28" s="272">
        <v>0</v>
      </c>
      <c r="AD28" s="272">
        <v>0</v>
      </c>
      <c r="AE28" s="272">
        <v>0</v>
      </c>
      <c r="AF28" s="912"/>
    </row>
    <row r="29" spans="1:32" s="7" customFormat="1" ht="33" customHeight="1" thickBot="1">
      <c r="A29" s="69" t="s">
        <v>11</v>
      </c>
      <c r="B29" s="1535" t="s">
        <v>101</v>
      </c>
      <c r="C29" s="1535"/>
      <c r="D29" s="1535"/>
      <c r="E29" s="270">
        <f aca="true" t="shared" si="15" ref="E29:L29">E5+E16+E24+E28</f>
        <v>806852077</v>
      </c>
      <c r="F29" s="270">
        <f t="shared" si="15"/>
        <v>807124579</v>
      </c>
      <c r="G29" s="270">
        <f t="shared" si="15"/>
        <v>810389347</v>
      </c>
      <c r="H29" s="270">
        <f>H5+H16+H24+H28</f>
        <v>931769975</v>
      </c>
      <c r="I29" s="270">
        <f t="shared" si="15"/>
        <v>1029864529</v>
      </c>
      <c r="J29" s="270">
        <f t="shared" si="15"/>
        <v>708629633</v>
      </c>
      <c r="K29" s="910">
        <f t="shared" si="5"/>
        <v>0.688080434897666</v>
      </c>
      <c r="L29" s="270">
        <f t="shared" si="15"/>
        <v>708239442</v>
      </c>
      <c r="M29" s="270">
        <f>M5+M16+M24+M28</f>
        <v>708511944</v>
      </c>
      <c r="N29" s="270">
        <f>N5+N16+N24+N28</f>
        <v>711566712</v>
      </c>
      <c r="O29" s="270">
        <f>O5+O16+O24+O28</f>
        <v>831217340</v>
      </c>
      <c r="P29" s="270">
        <f>P5+P16+P24+P28</f>
        <v>933220988</v>
      </c>
      <c r="Q29" s="270">
        <f>Q5+Q16+Q24+Q28</f>
        <v>630334419</v>
      </c>
      <c r="R29" s="910">
        <f t="shared" si="6"/>
        <v>0.6754396087371323</v>
      </c>
      <c r="S29" s="270">
        <f aca="true" t="shared" si="16" ref="S29:AD29">S5+S16+S24+S28</f>
        <v>98612635</v>
      </c>
      <c r="T29" s="270">
        <f t="shared" si="16"/>
        <v>98612635</v>
      </c>
      <c r="U29" s="270">
        <f t="shared" si="16"/>
        <v>98822635</v>
      </c>
      <c r="V29" s="270">
        <f t="shared" si="16"/>
        <v>100552635</v>
      </c>
      <c r="W29" s="270">
        <f t="shared" si="16"/>
        <v>96643541</v>
      </c>
      <c r="X29" s="270">
        <f>X5+X16+X24+X28</f>
        <v>78295214</v>
      </c>
      <c r="Y29" s="910">
        <f>+X29/W29</f>
        <v>0.8101443013144561</v>
      </c>
      <c r="Z29" s="270">
        <f t="shared" si="16"/>
        <v>6843890</v>
      </c>
      <c r="AA29" s="270">
        <f t="shared" si="16"/>
        <v>6843890</v>
      </c>
      <c r="AB29" s="270">
        <f t="shared" si="16"/>
        <v>6843890</v>
      </c>
      <c r="AC29" s="270">
        <f t="shared" si="16"/>
        <v>6843890</v>
      </c>
      <c r="AD29" s="270">
        <f t="shared" si="16"/>
        <v>6843890</v>
      </c>
      <c r="AE29" s="270">
        <f>AE5+AE16+AE24+AE28</f>
        <v>6035702</v>
      </c>
      <c r="AF29" s="910">
        <f>+AE29/AD29</f>
        <v>0.8819110184412666</v>
      </c>
    </row>
    <row r="30" spans="1:32" s="7" customFormat="1" ht="33" customHeight="1" thickBot="1">
      <c r="A30" s="48" t="s">
        <v>12</v>
      </c>
      <c r="B30" s="1563" t="s">
        <v>209</v>
      </c>
      <c r="C30" s="1563"/>
      <c r="D30" s="1563"/>
      <c r="E30" s="273">
        <f aca="true" t="shared" si="17" ref="E30:L30">SUM(E31:E33)</f>
        <v>12580358</v>
      </c>
      <c r="F30" s="273">
        <f t="shared" si="17"/>
        <v>12580358</v>
      </c>
      <c r="G30" s="273">
        <f t="shared" si="17"/>
        <v>12580358</v>
      </c>
      <c r="H30" s="273">
        <f>SUM(H31:H33)</f>
        <v>12580358</v>
      </c>
      <c r="I30" s="273">
        <f>SUM(I31:I33)</f>
        <v>12580358</v>
      </c>
      <c r="J30" s="273">
        <f>SUM(J31:J33)</f>
        <v>12580358</v>
      </c>
      <c r="K30" s="913">
        <f t="shared" si="5"/>
        <v>1</v>
      </c>
      <c r="L30" s="273">
        <f t="shared" si="17"/>
        <v>12580358</v>
      </c>
      <c r="M30" s="273">
        <f>SUM(M31:M33)</f>
        <v>12580358</v>
      </c>
      <c r="N30" s="273">
        <f>SUM(N31:N33)</f>
        <v>12580358</v>
      </c>
      <c r="O30" s="273">
        <f>SUM(O31:O33)</f>
        <v>12580358</v>
      </c>
      <c r="P30" s="273">
        <f>SUM(P31:P33)</f>
        <v>12580358</v>
      </c>
      <c r="Q30" s="273">
        <f>SUM(Q31:Q33)</f>
        <v>12580358</v>
      </c>
      <c r="R30" s="913">
        <f t="shared" si="6"/>
        <v>1</v>
      </c>
      <c r="S30" s="273"/>
      <c r="T30" s="273"/>
      <c r="U30" s="273"/>
      <c r="V30" s="273"/>
      <c r="W30" s="273"/>
      <c r="X30" s="273"/>
      <c r="Y30" s="913"/>
      <c r="Z30" s="273"/>
      <c r="AA30" s="273"/>
      <c r="AB30" s="273"/>
      <c r="AC30" s="273"/>
      <c r="AD30" s="273"/>
      <c r="AE30" s="273"/>
      <c r="AF30" s="913"/>
    </row>
    <row r="31" spans="1:32" s="4" customFormat="1" ht="33" customHeight="1">
      <c r="A31" s="87"/>
      <c r="B31" s="73" t="s">
        <v>45</v>
      </c>
      <c r="C31" s="1529" t="s">
        <v>279</v>
      </c>
      <c r="D31" s="1529"/>
      <c r="E31" s="274">
        <f>'4.sz.m.ÖNK kiadás'!E33</f>
        <v>2267801</v>
      </c>
      <c r="F31" s="274">
        <f>'4.sz.m.ÖNK kiadás'!F33</f>
        <v>2267801</v>
      </c>
      <c r="G31" s="274">
        <f>'4.sz.m.ÖNK kiadás'!G33</f>
        <v>2267801</v>
      </c>
      <c r="H31" s="274">
        <f>'4.sz.m.ÖNK kiadás'!H33</f>
        <v>2267801</v>
      </c>
      <c r="I31" s="274">
        <f>'4.sz.m.ÖNK kiadás'!I33</f>
        <v>2267801</v>
      </c>
      <c r="J31" s="274">
        <f>'4.sz.m.ÖNK kiadás'!J33</f>
        <v>2267801</v>
      </c>
      <c r="K31" s="914">
        <f t="shared" si="5"/>
        <v>1</v>
      </c>
      <c r="L31" s="274">
        <f>'4.sz.m.ÖNK kiadás'!L33</f>
        <v>2267801</v>
      </c>
      <c r="M31" s="274">
        <f>'4.sz.m.ÖNK kiadás'!M33</f>
        <v>2267801</v>
      </c>
      <c r="N31" s="274">
        <f>'4.sz.m.ÖNK kiadás'!N33</f>
        <v>2267801</v>
      </c>
      <c r="O31" s="274">
        <f>'4.sz.m.ÖNK kiadás'!O33</f>
        <v>2267801</v>
      </c>
      <c r="P31" s="274">
        <f>'4.sz.m.ÖNK kiadás'!P33</f>
        <v>2267801</v>
      </c>
      <c r="Q31" s="274">
        <f>'4.sz.m.ÖNK kiadás'!Q33</f>
        <v>2267801</v>
      </c>
      <c r="R31" s="914">
        <f t="shared" si="6"/>
        <v>1</v>
      </c>
      <c r="S31" s="271">
        <v>0</v>
      </c>
      <c r="T31" s="271">
        <v>0</v>
      </c>
      <c r="U31" s="271">
        <v>0</v>
      </c>
      <c r="V31" s="271">
        <v>0</v>
      </c>
      <c r="W31" s="271">
        <v>0</v>
      </c>
      <c r="X31" s="271">
        <v>0</v>
      </c>
      <c r="Y31" s="914"/>
      <c r="Z31" s="271">
        <v>0</v>
      </c>
      <c r="AA31" s="271">
        <v>0</v>
      </c>
      <c r="AB31" s="271">
        <v>0</v>
      </c>
      <c r="AC31" s="271">
        <v>0</v>
      </c>
      <c r="AD31" s="271">
        <v>0</v>
      </c>
      <c r="AE31" s="271">
        <v>0</v>
      </c>
      <c r="AF31" s="914"/>
    </row>
    <row r="32" spans="1:32" s="4" customFormat="1" ht="33" customHeight="1">
      <c r="A32" s="83"/>
      <c r="B32" s="74" t="s">
        <v>321</v>
      </c>
      <c r="C32" s="1560" t="s">
        <v>446</v>
      </c>
      <c r="D32" s="1560"/>
      <c r="E32" s="266">
        <f>'4.sz.m.ÖNK kiadás'!E34</f>
        <v>0</v>
      </c>
      <c r="F32" s="266">
        <f>'4.sz.m.ÖNK kiadás'!F34</f>
        <v>0</v>
      </c>
      <c r="G32" s="266">
        <f>'4.sz.m.ÖNK kiadás'!G34</f>
        <v>0</v>
      </c>
      <c r="H32" s="266">
        <f>'4.sz.m.ÖNK kiadás'!H34</f>
        <v>0</v>
      </c>
      <c r="I32" s="266">
        <f>'4.sz.m.ÖNK kiadás'!I34</f>
        <v>0</v>
      </c>
      <c r="J32" s="266">
        <f>'4.sz.m.ÖNK kiadás'!J34</f>
        <v>0</v>
      </c>
      <c r="K32" s="915"/>
      <c r="L32" s="266">
        <f>'4.sz.m.ÖNK kiadás'!L34</f>
        <v>0</v>
      </c>
      <c r="M32" s="266">
        <f>'4.sz.m.ÖNK kiadás'!M34</f>
        <v>0</v>
      </c>
      <c r="N32" s="266">
        <f>'4.sz.m.ÖNK kiadás'!N34</f>
        <v>0</v>
      </c>
      <c r="O32" s="266">
        <f>'4.sz.m.ÖNK kiadás'!O34</f>
        <v>0</v>
      </c>
      <c r="P32" s="266">
        <f>'4.sz.m.ÖNK kiadás'!P34</f>
        <v>0</v>
      </c>
      <c r="Q32" s="266">
        <f>'4.sz.m.ÖNK kiadás'!Q34</f>
        <v>0</v>
      </c>
      <c r="R32" s="915"/>
      <c r="S32" s="274">
        <v>0</v>
      </c>
      <c r="T32" s="274">
        <v>0</v>
      </c>
      <c r="U32" s="274">
        <v>0</v>
      </c>
      <c r="V32" s="274">
        <v>0</v>
      </c>
      <c r="W32" s="274">
        <v>0</v>
      </c>
      <c r="X32" s="274">
        <v>0</v>
      </c>
      <c r="Y32" s="915"/>
      <c r="Z32" s="274">
        <v>0</v>
      </c>
      <c r="AA32" s="274">
        <v>0</v>
      </c>
      <c r="AB32" s="274">
        <v>0</v>
      </c>
      <c r="AC32" s="274">
        <v>0</v>
      </c>
      <c r="AD32" s="274">
        <v>0</v>
      </c>
      <c r="AE32" s="274">
        <v>0</v>
      </c>
      <c r="AF32" s="915"/>
    </row>
    <row r="33" spans="1:32" s="4" customFormat="1" ht="33" customHeight="1" thickBot="1">
      <c r="A33" s="83"/>
      <c r="B33" s="74" t="s">
        <v>419</v>
      </c>
      <c r="C33" s="1557" t="s">
        <v>418</v>
      </c>
      <c r="D33" s="1557"/>
      <c r="E33" s="274">
        <f>'4.sz.m.ÖNK kiadás'!E36</f>
        <v>10312557</v>
      </c>
      <c r="F33" s="274">
        <f>'4.sz.m.ÖNK kiadás'!F36</f>
        <v>10312557</v>
      </c>
      <c r="G33" s="274">
        <f>'4.sz.m.ÖNK kiadás'!G36</f>
        <v>10312557</v>
      </c>
      <c r="H33" s="274">
        <f>'4.sz.m.ÖNK kiadás'!H36</f>
        <v>10312557</v>
      </c>
      <c r="I33" s="274">
        <f>'4.sz.m.ÖNK kiadás'!I36</f>
        <v>10312557</v>
      </c>
      <c r="J33" s="274">
        <f>'4.sz.m.ÖNK kiadás'!J36</f>
        <v>10312557</v>
      </c>
      <c r="K33" s="914">
        <f t="shared" si="5"/>
        <v>1</v>
      </c>
      <c r="L33" s="274">
        <f>'4.sz.m.ÖNK kiadás'!L36</f>
        <v>10312557</v>
      </c>
      <c r="M33" s="274">
        <f>'4.sz.m.ÖNK kiadás'!M36</f>
        <v>10312557</v>
      </c>
      <c r="N33" s="274">
        <f>'4.sz.m.ÖNK kiadás'!N36</f>
        <v>10312557</v>
      </c>
      <c r="O33" s="274">
        <f>'4.sz.m.ÖNK kiadás'!O36</f>
        <v>10312557</v>
      </c>
      <c r="P33" s="274">
        <f>'4.sz.m.ÖNK kiadás'!P36</f>
        <v>10312557</v>
      </c>
      <c r="Q33" s="274">
        <f>'4.sz.m.ÖNK kiadás'!Q36</f>
        <v>10312557</v>
      </c>
      <c r="R33" s="914">
        <f t="shared" si="6"/>
        <v>1</v>
      </c>
      <c r="S33" s="274">
        <v>0</v>
      </c>
      <c r="T33" s="274">
        <v>0</v>
      </c>
      <c r="U33" s="274">
        <v>0</v>
      </c>
      <c r="V33" s="274">
        <v>0</v>
      </c>
      <c r="W33" s="274">
        <v>0</v>
      </c>
      <c r="X33" s="274">
        <v>0</v>
      </c>
      <c r="Y33" s="914"/>
      <c r="Z33" s="274">
        <v>0</v>
      </c>
      <c r="AA33" s="274">
        <v>0</v>
      </c>
      <c r="AB33" s="274">
        <v>0</v>
      </c>
      <c r="AC33" s="274">
        <v>0</v>
      </c>
      <c r="AD33" s="274">
        <v>0</v>
      </c>
      <c r="AE33" s="274">
        <v>0</v>
      </c>
      <c r="AF33" s="914"/>
    </row>
    <row r="34" spans="1:32" s="4" customFormat="1" ht="33" customHeight="1" thickBot="1">
      <c r="A34" s="286" t="s">
        <v>13</v>
      </c>
      <c r="B34" s="1559" t="s">
        <v>235</v>
      </c>
      <c r="C34" s="1559"/>
      <c r="D34" s="1559"/>
      <c r="E34" s="287">
        <f aca="true" t="shared" si="18" ref="E34:M34">E29+E30</f>
        <v>819432435</v>
      </c>
      <c r="F34" s="287">
        <f t="shared" si="18"/>
        <v>819704937</v>
      </c>
      <c r="G34" s="287">
        <f t="shared" si="18"/>
        <v>822969705</v>
      </c>
      <c r="H34" s="287">
        <f>H29+H30</f>
        <v>944350333</v>
      </c>
      <c r="I34" s="287">
        <f t="shared" si="18"/>
        <v>1042444887</v>
      </c>
      <c r="J34" s="287">
        <f t="shared" si="18"/>
        <v>721209991</v>
      </c>
      <c r="K34" s="916">
        <f>+J34/I34</f>
        <v>0.691844720036504</v>
      </c>
      <c r="L34" s="287">
        <f t="shared" si="18"/>
        <v>720819800</v>
      </c>
      <c r="M34" s="287">
        <f t="shared" si="18"/>
        <v>721092302</v>
      </c>
      <c r="N34" s="287">
        <f>N29+N30</f>
        <v>724147070</v>
      </c>
      <c r="O34" s="287">
        <f>O29+O30</f>
        <v>843797698</v>
      </c>
      <c r="P34" s="287">
        <f>P29+P30</f>
        <v>945801346</v>
      </c>
      <c r="Q34" s="287">
        <f>Q29+Q30</f>
        <v>642914777</v>
      </c>
      <c r="R34" s="916">
        <f>+Q34/P34</f>
        <v>0.6797566737656133</v>
      </c>
      <c r="S34" s="287">
        <f aca="true" t="shared" si="19" ref="S34:X34">S29+S30</f>
        <v>98612635</v>
      </c>
      <c r="T34" s="287">
        <f t="shared" si="19"/>
        <v>98612635</v>
      </c>
      <c r="U34" s="287">
        <f t="shared" si="19"/>
        <v>98822635</v>
      </c>
      <c r="V34" s="287">
        <f t="shared" si="19"/>
        <v>100552635</v>
      </c>
      <c r="W34" s="287">
        <f t="shared" si="19"/>
        <v>96643541</v>
      </c>
      <c r="X34" s="287">
        <f t="shared" si="19"/>
        <v>78295214</v>
      </c>
      <c r="Y34" s="916">
        <f>+X34/W34</f>
        <v>0.8101443013144561</v>
      </c>
      <c r="Z34" s="287">
        <f aca="true" t="shared" si="20" ref="Z34:AE34">Z29+Z30</f>
        <v>6843890</v>
      </c>
      <c r="AA34" s="287">
        <f t="shared" si="20"/>
        <v>6843890</v>
      </c>
      <c r="AB34" s="287">
        <f t="shared" si="20"/>
        <v>6843890</v>
      </c>
      <c r="AC34" s="287">
        <f t="shared" si="20"/>
        <v>6843890</v>
      </c>
      <c r="AD34" s="287">
        <f t="shared" si="20"/>
        <v>6843890</v>
      </c>
      <c r="AE34" s="287">
        <f t="shared" si="20"/>
        <v>6035702</v>
      </c>
      <c r="AF34" s="916">
        <f>+AE34/AD34</f>
        <v>0.8819110184412666</v>
      </c>
    </row>
    <row r="35" spans="1:32" s="4" customFormat="1" ht="33" customHeight="1" hidden="1" thickBot="1">
      <c r="A35" s="1555" t="s">
        <v>236</v>
      </c>
      <c r="B35" s="1556"/>
      <c r="C35" s="1556"/>
      <c r="D35" s="1556"/>
      <c r="E35" s="329"/>
      <c r="F35" s="329"/>
      <c r="G35" s="329"/>
      <c r="H35" s="329"/>
      <c r="I35" s="329"/>
      <c r="J35" s="329"/>
      <c r="K35" s="917" t="e">
        <f t="shared" si="5"/>
        <v>#DIV/0!</v>
      </c>
      <c r="L35" s="329"/>
      <c r="M35" s="329"/>
      <c r="N35" s="329"/>
      <c r="O35" s="329"/>
      <c r="P35" s="329"/>
      <c r="Q35" s="329"/>
      <c r="R35" s="917" t="e">
        <f t="shared" si="6"/>
        <v>#DIV/0!</v>
      </c>
      <c r="S35" s="329"/>
      <c r="T35" s="329"/>
      <c r="U35" s="329"/>
      <c r="V35" s="329"/>
      <c r="W35" s="329"/>
      <c r="X35" s="329"/>
      <c r="Y35" s="917" t="e">
        <f>+X35/W35</f>
        <v>#DIV/0!</v>
      </c>
      <c r="Z35" s="329"/>
      <c r="AA35" s="329"/>
      <c r="AB35" s="329"/>
      <c r="AC35" s="329"/>
      <c r="AD35" s="329"/>
      <c r="AE35" s="329"/>
      <c r="AF35" s="917" t="e">
        <f>+AE35/AD35</f>
        <v>#DIV/0!</v>
      </c>
    </row>
    <row r="36" spans="1:32" s="4" customFormat="1" ht="33" customHeight="1" thickBot="1">
      <c r="A36" s="1534" t="s">
        <v>103</v>
      </c>
      <c r="B36" s="1535"/>
      <c r="C36" s="1535"/>
      <c r="D36" s="1535"/>
      <c r="E36" s="270">
        <f aca="true" t="shared" si="21" ref="E36:L36">E34+E35</f>
        <v>819432435</v>
      </c>
      <c r="F36" s="270">
        <f t="shared" si="21"/>
        <v>819704937</v>
      </c>
      <c r="G36" s="270">
        <f t="shared" si="21"/>
        <v>822969705</v>
      </c>
      <c r="H36" s="270">
        <f>H34+H35</f>
        <v>944350333</v>
      </c>
      <c r="I36" s="270">
        <f t="shared" si="21"/>
        <v>1042444887</v>
      </c>
      <c r="J36" s="270">
        <f t="shared" si="21"/>
        <v>721209991</v>
      </c>
      <c r="K36" s="910">
        <f>+J36/I36</f>
        <v>0.691844720036504</v>
      </c>
      <c r="L36" s="270">
        <f t="shared" si="21"/>
        <v>720819800</v>
      </c>
      <c r="M36" s="270">
        <f>M34+M35</f>
        <v>721092302</v>
      </c>
      <c r="N36" s="270">
        <f>N34+N35</f>
        <v>724147070</v>
      </c>
      <c r="O36" s="270">
        <f>O34+O35</f>
        <v>843797698</v>
      </c>
      <c r="P36" s="270">
        <f>P34+P35</f>
        <v>945801346</v>
      </c>
      <c r="Q36" s="270">
        <f>Q34+Q35</f>
        <v>642914777</v>
      </c>
      <c r="R36" s="910">
        <f>+Q36/P36</f>
        <v>0.6797566737656133</v>
      </c>
      <c r="S36" s="270">
        <f aca="true" t="shared" si="22" ref="S36:AD36">S34+S35</f>
        <v>98612635</v>
      </c>
      <c r="T36" s="270">
        <f t="shared" si="22"/>
        <v>98612635</v>
      </c>
      <c r="U36" s="270">
        <f t="shared" si="22"/>
        <v>98822635</v>
      </c>
      <c r="V36" s="270">
        <f t="shared" si="22"/>
        <v>100552635</v>
      </c>
      <c r="W36" s="270">
        <f t="shared" si="22"/>
        <v>96643541</v>
      </c>
      <c r="X36" s="270">
        <f>X34+X35</f>
        <v>78295214</v>
      </c>
      <c r="Y36" s="910">
        <f>+X36/W36</f>
        <v>0.8101443013144561</v>
      </c>
      <c r="Z36" s="270">
        <f t="shared" si="22"/>
        <v>6843890</v>
      </c>
      <c r="AA36" s="270">
        <f t="shared" si="22"/>
        <v>6843890</v>
      </c>
      <c r="AB36" s="270">
        <f t="shared" si="22"/>
        <v>6843890</v>
      </c>
      <c r="AC36" s="270">
        <f t="shared" si="22"/>
        <v>6843890</v>
      </c>
      <c r="AD36" s="270">
        <f t="shared" si="22"/>
        <v>6843890</v>
      </c>
      <c r="AE36" s="270">
        <f>AE34+AE35</f>
        <v>6035702</v>
      </c>
      <c r="AF36" s="910">
        <f>+AE36/AD36</f>
        <v>0.8819110184412666</v>
      </c>
    </row>
    <row r="37" spans="1:31" s="4" customFormat="1" ht="19.5" customHeight="1">
      <c r="A37" s="32"/>
      <c r="B37" s="76"/>
      <c r="C37" s="32"/>
      <c r="D37" s="32"/>
      <c r="E37" s="671" t="str">
        <f>IF(L36+S36=E36," ","HIBA-nincs egyenlőség")</f>
        <v> </v>
      </c>
      <c r="F37" s="671" t="str">
        <f>IF(M36+T36=F36," ","HIBA-nincs egyenlőség")</f>
        <v> </v>
      </c>
      <c r="G37" s="671" t="str">
        <f>IF(N36+U36=G36," ","HIBA-nincs egyenlőség")</f>
        <v> </v>
      </c>
      <c r="H37" s="671" t="str">
        <f>IF(O36+V36=H36," ","HIBA-nincs egyenlőség")</f>
        <v> </v>
      </c>
      <c r="I37" s="671"/>
      <c r="J37" s="671"/>
      <c r="K37" s="703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2"/>
      <c r="AA37" s="82"/>
      <c r="AB37" s="82"/>
      <c r="AC37" s="82"/>
      <c r="AD37" s="82"/>
      <c r="AE37" s="82"/>
    </row>
    <row r="38" spans="1:31" s="4" customFormat="1" ht="19.5" customHeight="1">
      <c r="A38" s="32"/>
      <c r="B38" s="76"/>
      <c r="C38" s="32"/>
      <c r="D38" s="32"/>
      <c r="E38" s="5"/>
      <c r="F38" s="5"/>
      <c r="G38" s="5"/>
      <c r="H38" s="5"/>
      <c r="I38" s="5"/>
      <c r="J38" s="5"/>
      <c r="K38" s="5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330"/>
      <c r="AA38" s="330"/>
      <c r="AB38" s="330"/>
      <c r="AC38" s="330"/>
      <c r="AD38" s="330"/>
      <c r="AE38" s="330"/>
    </row>
    <row r="39" spans="1:31" s="4" customFormat="1" ht="19.5" customHeight="1">
      <c r="A39" s="32"/>
      <c r="B39" s="76"/>
      <c r="C39" s="1551" t="s">
        <v>52</v>
      </c>
      <c r="D39" s="1551"/>
      <c r="E39" s="1551"/>
      <c r="F39" s="1551"/>
      <c r="G39" s="1551"/>
      <c r="H39" s="1551"/>
      <c r="I39" s="1551"/>
      <c r="J39" s="1551"/>
      <c r="K39" s="1551"/>
      <c r="L39" s="1551"/>
      <c r="M39" s="1551"/>
      <c r="N39" s="1551"/>
      <c r="O39" s="1551"/>
      <c r="P39" s="1551"/>
      <c r="Q39" s="1551"/>
      <c r="R39" s="1551"/>
      <c r="S39" s="1551"/>
      <c r="T39" s="228"/>
      <c r="U39" s="228"/>
      <c r="V39" s="228"/>
      <c r="W39" s="228"/>
      <c r="X39" s="228"/>
      <c r="Y39" s="228"/>
      <c r="Z39" s="331"/>
      <c r="AA39" s="331"/>
      <c r="AB39" s="331"/>
      <c r="AC39" s="331"/>
      <c r="AD39" s="331"/>
      <c r="AE39" s="331"/>
    </row>
    <row r="40" spans="1:31" s="4" customFormat="1" ht="19.5" customHeight="1" thickBot="1">
      <c r="A40" s="190" t="s">
        <v>53</v>
      </c>
      <c r="B40" s="190"/>
      <c r="F40" s="172"/>
      <c r="G40" s="172"/>
      <c r="H40" s="172"/>
      <c r="I40" s="172"/>
      <c r="J40" s="172"/>
      <c r="K40" s="172"/>
      <c r="L40" s="173"/>
      <c r="M40" s="173"/>
      <c r="N40" s="173"/>
      <c r="O40" s="173"/>
      <c r="P40" s="173"/>
      <c r="Q40" s="173"/>
      <c r="R40" s="173"/>
      <c r="S40" s="174">
        <v>0</v>
      </c>
      <c r="T40" s="174"/>
      <c r="U40" s="174"/>
      <c r="V40" s="174"/>
      <c r="W40" s="174"/>
      <c r="X40" s="174"/>
      <c r="Y40" s="174"/>
      <c r="Z40" s="89"/>
      <c r="AA40" s="89"/>
      <c r="AB40" s="89"/>
      <c r="AC40" s="89"/>
      <c r="AD40" s="89"/>
      <c r="AE40" s="332"/>
    </row>
    <row r="41" spans="1:33" ht="52.5" customHeight="1" thickBot="1">
      <c r="A41" s="175">
        <v>1</v>
      </c>
      <c r="B41" s="1572" t="s">
        <v>153</v>
      </c>
      <c r="C41" s="1573"/>
      <c r="D41" s="1574"/>
      <c r="E41" s="189">
        <f>'1.sz.m-önk.össze.bev'!E57-'1 .sz.m.önk.össz.kiad.'!E29</f>
        <v>-179616859</v>
      </c>
      <c r="F41" s="189">
        <f>'1.sz.m-önk.össze.bev'!F57-'1 .sz.m.önk.össz.kiad.'!F29</f>
        <v>-179616859</v>
      </c>
      <c r="G41" s="189">
        <f>'1.sz.m-önk.össze.bev'!G57-'1 .sz.m.önk.össz.kiad.'!G29</f>
        <v>-179616859</v>
      </c>
      <c r="H41" s="189">
        <f>'1.sz.m-önk.össze.bev'!H57-'1 .sz.m.önk.össz.kiad.'!H29</f>
        <v>-179616859</v>
      </c>
      <c r="I41" s="189">
        <f>'1.sz.m-önk.össze.bev'!I57-'1 .sz.m.önk.össz.kiad.'!I29</f>
        <v>-190529505</v>
      </c>
      <c r="J41" s="189">
        <f>'1.sz.m-önk.össze.bev'!J57-'1 .sz.m.önk.össz.kiad.'!J29</f>
        <v>113750048</v>
      </c>
      <c r="K41" s="189"/>
      <c r="L41" s="189">
        <f>'1.sz.m-önk.össze.bev'!L57-'1 .sz.m.önk.össz.kiad.'!L29</f>
        <v>-159716826</v>
      </c>
      <c r="M41" s="189">
        <f>'1.sz.m-önk.össze.bev'!M57-'1 .sz.m.önk.össz.kiad.'!M29</f>
        <v>-159716826</v>
      </c>
      <c r="N41" s="189">
        <f>'1.sz.m-önk.össze.bev'!N57-'1 .sz.m.önk.össz.kiad.'!N29</f>
        <v>-159716826</v>
      </c>
      <c r="O41" s="189">
        <f>'1.sz.m-önk.össze.bev'!O57-'1 .sz.m.önk.össz.kiad.'!O29</f>
        <v>-159716826</v>
      </c>
      <c r="P41" s="189">
        <f>'1.sz.m-önk.össze.bev'!P57-'1 .sz.m.önk.össz.kiad.'!P29</f>
        <v>-170629472</v>
      </c>
      <c r="Q41" s="189">
        <f>'1.sz.m-önk.össze.bev'!Q57-'1 .sz.m.önk.össz.kiad.'!Q29</f>
        <v>133650081</v>
      </c>
      <c r="R41" s="189">
        <f>'1.sz.m-önk.össze.bev'!R57-'1 .sz.m.önk.össz.kiad.'!R29</f>
        <v>0.32638703628943</v>
      </c>
      <c r="S41" s="189">
        <f>'1.sz.m-önk.össze.bev'!S57-'1 .sz.m.önk.össz.kiad.'!S29</f>
        <v>-19900033</v>
      </c>
      <c r="T41" s="189">
        <f>'1.sz.m-önk.össze.bev'!T57-'1 .sz.m.önk.össz.kiad.'!T29</f>
        <v>-19900033</v>
      </c>
      <c r="U41" s="189">
        <f>'1.sz.m-önk.össze.bev'!U57-'1 .sz.m.önk.össz.kiad.'!U29</f>
        <v>-19900033</v>
      </c>
      <c r="V41" s="189">
        <f>'1.sz.m-önk.össze.bev'!V57-'1 .sz.m.önk.össz.kiad.'!V29</f>
        <v>-19900033</v>
      </c>
      <c r="W41" s="189">
        <f>'1.sz.m-önk.össze.bev'!W57-'1 .sz.m.önk.össz.kiad.'!W29</f>
        <v>-19900033</v>
      </c>
      <c r="X41" s="189">
        <f>'1.sz.m-önk.össze.bev'!X57-'1 .sz.m.önk.össz.kiad.'!X29</f>
        <v>-19900033</v>
      </c>
      <c r="Y41" s="189"/>
      <c r="Z41" s="189">
        <f>'1.sz.m-önk.össze.bev'!Z57-'1 .sz.m.önk.össz.kiad.'!Z29</f>
        <v>0</v>
      </c>
      <c r="AA41" s="189">
        <f>'1.sz.m-önk.össze.bev'!AA57-'1 .sz.m.önk.össz.kiad.'!AA29</f>
        <v>0</v>
      </c>
      <c r="AB41" s="189">
        <f>'1.sz.m-önk.össze.bev'!AB57-'1 .sz.m.önk.össz.kiad.'!AB29</f>
        <v>0</v>
      </c>
      <c r="AC41" s="189">
        <f>'1.sz.m-önk.össze.bev'!AC57-'1 .sz.m.önk.össz.kiad.'!AC29</f>
        <v>0</v>
      </c>
      <c r="AD41" s="189">
        <f>'1.sz.m-önk.össze.bev'!AD57-'1 .sz.m.önk.össz.kiad.'!AD29</f>
        <v>0</v>
      </c>
      <c r="AE41" s="189">
        <f>'1.sz.m-önk.össze.bev'!AE57-'1 .sz.m.önk.össz.kiad.'!AE29</f>
        <v>-424808</v>
      </c>
      <c r="AF41" s="189"/>
      <c r="AG41" s="189">
        <f>'1.sz.m-önk.össze.bev'!AG57-'1 .sz.m.önk.össz.kiad.'!AG29</f>
        <v>0</v>
      </c>
    </row>
    <row r="42" spans="3:25" ht="15.75">
      <c r="C42" s="172"/>
      <c r="D42" s="172"/>
      <c r="E42" s="176"/>
      <c r="F42" s="176"/>
      <c r="G42" s="176"/>
      <c r="H42" s="176"/>
      <c r="I42" s="176"/>
      <c r="J42" s="176"/>
      <c r="K42" s="176"/>
      <c r="L42" s="173"/>
      <c r="M42" s="173"/>
      <c r="N42" s="173"/>
      <c r="O42" s="173"/>
      <c r="P42" s="173"/>
      <c r="Q42" s="173"/>
      <c r="R42" s="173"/>
      <c r="S42" s="174">
        <v>0</v>
      </c>
      <c r="T42" s="174"/>
      <c r="U42" s="174"/>
      <c r="V42" s="174"/>
      <c r="W42" s="174"/>
      <c r="X42" s="174"/>
      <c r="Y42" s="174"/>
    </row>
    <row r="43" spans="3:25" ht="15.75" customHeight="1">
      <c r="C43" s="1548" t="s">
        <v>154</v>
      </c>
      <c r="D43" s="1548"/>
      <c r="E43" s="1548"/>
      <c r="F43" s="1548"/>
      <c r="G43" s="1548"/>
      <c r="H43" s="1548"/>
      <c r="I43" s="1548"/>
      <c r="J43" s="1548"/>
      <c r="K43" s="1548"/>
      <c r="L43" s="1548"/>
      <c r="M43" s="1548"/>
      <c r="N43" s="1548"/>
      <c r="O43" s="1548"/>
      <c r="P43" s="1548"/>
      <c r="Q43" s="1548"/>
      <c r="R43" s="1548"/>
      <c r="S43" s="1548"/>
      <c r="T43" s="180"/>
      <c r="U43" s="180"/>
      <c r="V43" s="180"/>
      <c r="W43" s="180"/>
      <c r="X43" s="180"/>
      <c r="Y43" s="180"/>
    </row>
    <row r="44" spans="1:25" ht="16.5" thickBot="1">
      <c r="A44" s="190" t="s">
        <v>155</v>
      </c>
      <c r="C44" s="1575"/>
      <c r="D44" s="1575"/>
      <c r="E44" s="172"/>
      <c r="F44" s="172"/>
      <c r="G44" s="172"/>
      <c r="H44" s="172"/>
      <c r="I44" s="172"/>
      <c r="J44" s="172"/>
      <c r="K44" s="172"/>
      <c r="L44" s="173"/>
      <c r="M44" s="173"/>
      <c r="N44" s="173"/>
      <c r="O44" s="173"/>
      <c r="P44" s="173"/>
      <c r="Q44" s="173"/>
      <c r="R44" s="173"/>
      <c r="S44" s="174">
        <v>0</v>
      </c>
      <c r="T44" s="174"/>
      <c r="U44" s="174"/>
      <c r="V44" s="174"/>
      <c r="W44" s="174"/>
      <c r="X44" s="174"/>
      <c r="Y44" s="174"/>
    </row>
    <row r="45" spans="1:33" ht="27.75" customHeight="1">
      <c r="A45" s="185" t="s">
        <v>26</v>
      </c>
      <c r="B45" s="1552" t="s">
        <v>608</v>
      </c>
      <c r="C45" s="1553"/>
      <c r="D45" s="1554"/>
      <c r="E45" s="204">
        <f>'1.sz.m-önk.össze.bev'!E61-'2.sz.m.összehasonlító'!B27</f>
        <v>120716004</v>
      </c>
      <c r="F45" s="204">
        <f>'1.sz.m-önk.össze.bev'!F61-'2.sz.m.összehasonlító'!C27</f>
        <v>120716004</v>
      </c>
      <c r="G45" s="204">
        <f>'1.sz.m-önk.össze.bev'!G61-'2.sz.m.összehasonlító'!D27</f>
        <v>120716004</v>
      </c>
      <c r="H45" s="204">
        <f>'1.sz.m-önk.össze.bev'!H61-'2.sz.m.összehasonlító'!E27</f>
        <v>120716004</v>
      </c>
      <c r="I45" s="204">
        <f>'1.sz.m-önk.össze.bev'!I61-'2.sz.m.összehasonlító'!F27</f>
        <v>120716004</v>
      </c>
      <c r="J45" s="204">
        <f>'1.sz.m-önk.össze.bev'!J61-'2.sz.m.összehasonlító'!G27</f>
        <v>120716004</v>
      </c>
      <c r="K45" s="204"/>
      <c r="L45" s="204">
        <f>'1.sz.m-önk.össze.bev'!L61-'2.sz.m.összehasonlító'!B27+S46</f>
        <v>108231415</v>
      </c>
      <c r="M45" s="204">
        <f>'1.sz.m-önk.össze.bev'!M61-'2.sz.m.összehasonlító'!C27+T46</f>
        <v>108231415</v>
      </c>
      <c r="N45" s="204">
        <f>'1.sz.m-önk.össze.bev'!N61-'2.sz.m.összehasonlító'!D27+U46</f>
        <v>108231415</v>
      </c>
      <c r="O45" s="204">
        <f>'1.sz.m-önk.össze.bev'!O61-'2.sz.m.összehasonlító'!E27+V46</f>
        <v>108231415</v>
      </c>
      <c r="P45" s="204">
        <f>'1.sz.m-önk.össze.bev'!P61-'2.sz.m.összehasonlító'!F27+W46</f>
        <v>108231416</v>
      </c>
      <c r="Q45" s="204">
        <f>'1.sz.m-önk.össze.bev'!Q61-'2.sz.m.összehasonlító'!G27+X46</f>
        <v>108231417</v>
      </c>
      <c r="R45" s="204"/>
      <c r="S45" s="204">
        <f>'1.sz.m-önk.össze.bev'!S61-S46</f>
        <v>12484589</v>
      </c>
      <c r="T45" s="204">
        <f>'1.sz.m-önk.össze.bev'!T61-T46</f>
        <v>12484589</v>
      </c>
      <c r="U45" s="204">
        <f>'1.sz.m-önk.össze.bev'!U61-U46</f>
        <v>12484589</v>
      </c>
      <c r="V45" s="204">
        <f>'1.sz.m-önk.össze.bev'!V61-V46</f>
        <v>12484589</v>
      </c>
      <c r="W45" s="204">
        <f>'1.sz.m-önk.össze.bev'!W61-W46</f>
        <v>12484588</v>
      </c>
      <c r="X45" s="204">
        <f>'1.sz.m-önk.össze.bev'!X61-X46</f>
        <v>12484587</v>
      </c>
      <c r="Y45" s="204"/>
      <c r="Z45" s="204">
        <f>'1.sz.m-önk.össze.bev'!Z61</f>
        <v>0</v>
      </c>
      <c r="AA45" s="204">
        <f>'1.sz.m-önk.össze.bev'!AA61</f>
        <v>0</v>
      </c>
      <c r="AB45" s="204">
        <f>'1.sz.m-önk.össze.bev'!AB61</f>
        <v>0</v>
      </c>
      <c r="AC45" s="204">
        <f>'1.sz.m-önk.össze.bev'!AC61</f>
        <v>0</v>
      </c>
      <c r="AD45" s="204">
        <f>'1.sz.m-önk.össze.bev'!AD61</f>
        <v>0</v>
      </c>
      <c r="AE45" s="204">
        <f>'1.sz.m-önk.össze.bev'!AE61</f>
        <v>0</v>
      </c>
      <c r="AF45" s="204">
        <f>'1.sz.m-önk.össze.bev'!AF61</f>
        <v>0</v>
      </c>
      <c r="AG45" s="204">
        <f>'1.sz.m-önk.össze.bev'!AG61</f>
        <v>0</v>
      </c>
    </row>
    <row r="46" spans="1:33" ht="27.75" customHeight="1">
      <c r="A46" s="186" t="s">
        <v>27</v>
      </c>
      <c r="B46" s="1576" t="s">
        <v>609</v>
      </c>
      <c r="C46" s="1577"/>
      <c r="D46" s="1578"/>
      <c r="E46" s="205">
        <f>'2.sz.m.összehasonlító'!B27</f>
        <v>71481213</v>
      </c>
      <c r="F46" s="205">
        <f>'2.sz.m.összehasonlító'!C27</f>
        <v>71481213</v>
      </c>
      <c r="G46" s="205">
        <f>'2.sz.m.összehasonlító'!D27</f>
        <v>71481213</v>
      </c>
      <c r="H46" s="205">
        <f>'2.sz.m.összehasonlító'!E27</f>
        <v>71481213</v>
      </c>
      <c r="I46" s="205">
        <f>'2.sz.m.összehasonlító'!F27</f>
        <v>71481213</v>
      </c>
      <c r="J46" s="205">
        <f>'2.sz.m.összehasonlító'!G27</f>
        <v>71481213</v>
      </c>
      <c r="K46" s="205"/>
      <c r="L46" s="205">
        <f>'2.sz.m.összehasonlító'!B27-S46</f>
        <v>64065769</v>
      </c>
      <c r="M46" s="205">
        <f>'2.sz.m.összehasonlító'!C27-T46</f>
        <v>64065769</v>
      </c>
      <c r="N46" s="205">
        <f>'2.sz.m.összehasonlító'!D27-U46</f>
        <v>64065769</v>
      </c>
      <c r="O46" s="205">
        <f>'2.sz.m.összehasonlító'!E27-V46</f>
        <v>64065769</v>
      </c>
      <c r="P46" s="205">
        <f>'2.sz.m.összehasonlító'!F27-W46</f>
        <v>64065768</v>
      </c>
      <c r="Q46" s="205">
        <f>'2.sz.m.összehasonlító'!G27-X46</f>
        <v>64065767</v>
      </c>
      <c r="R46" s="205"/>
      <c r="S46" s="205">
        <v>7415444</v>
      </c>
      <c r="T46" s="205">
        <v>7415444</v>
      </c>
      <c r="U46" s="205">
        <v>7415444</v>
      </c>
      <c r="V46" s="205">
        <v>7415444</v>
      </c>
      <c r="W46" s="205">
        <v>7415445</v>
      </c>
      <c r="X46" s="205">
        <v>7415446</v>
      </c>
      <c r="Y46" s="205"/>
      <c r="Z46" s="205"/>
      <c r="AA46" s="205"/>
      <c r="AB46" s="205"/>
      <c r="AC46" s="205"/>
      <c r="AD46" s="205"/>
      <c r="AE46" s="205"/>
      <c r="AF46" s="205"/>
      <c r="AG46" s="205"/>
    </row>
    <row r="47" spans="1:33" ht="27.75" customHeight="1" thickBot="1">
      <c r="A47" s="187" t="s">
        <v>9</v>
      </c>
      <c r="B47" s="1579" t="s">
        <v>610</v>
      </c>
      <c r="C47" s="1580"/>
      <c r="D47" s="1581"/>
      <c r="E47" s="203">
        <f aca="true" t="shared" si="23" ref="E47:J47">E45+E46</f>
        <v>192197217</v>
      </c>
      <c r="F47" s="203">
        <f t="shared" si="23"/>
        <v>192197217</v>
      </c>
      <c r="G47" s="203">
        <f t="shared" si="23"/>
        <v>192197217</v>
      </c>
      <c r="H47" s="203">
        <f t="shared" si="23"/>
        <v>192197217</v>
      </c>
      <c r="I47" s="203">
        <f t="shared" si="23"/>
        <v>192197217</v>
      </c>
      <c r="J47" s="203">
        <f t="shared" si="23"/>
        <v>192197217</v>
      </c>
      <c r="K47" s="203"/>
      <c r="L47" s="203">
        <f aca="true" t="shared" si="24" ref="L47:Q47">L45+L46</f>
        <v>172297184</v>
      </c>
      <c r="M47" s="203">
        <f t="shared" si="24"/>
        <v>172297184</v>
      </c>
      <c r="N47" s="203">
        <f t="shared" si="24"/>
        <v>172297184</v>
      </c>
      <c r="O47" s="203">
        <f t="shared" si="24"/>
        <v>172297184</v>
      </c>
      <c r="P47" s="203">
        <f t="shared" si="24"/>
        <v>172297184</v>
      </c>
      <c r="Q47" s="203">
        <f t="shared" si="24"/>
        <v>172297184</v>
      </c>
      <c r="R47" s="203"/>
      <c r="S47" s="203">
        <f aca="true" t="shared" si="25" ref="S47:AE47">S45+S46</f>
        <v>19900033</v>
      </c>
      <c r="T47" s="203">
        <f>T45+T46</f>
        <v>19900033</v>
      </c>
      <c r="U47" s="203">
        <f>U45+U46</f>
        <v>19900033</v>
      </c>
      <c r="V47" s="203">
        <f>V45+V46</f>
        <v>19900033</v>
      </c>
      <c r="W47" s="203">
        <f>W45+W46</f>
        <v>19900033</v>
      </c>
      <c r="X47" s="203">
        <f>X45+X46</f>
        <v>19900033</v>
      </c>
      <c r="Y47" s="203"/>
      <c r="Z47" s="203">
        <f t="shared" si="25"/>
        <v>0</v>
      </c>
      <c r="AA47" s="203">
        <f t="shared" si="25"/>
        <v>0</v>
      </c>
      <c r="AB47" s="203">
        <f t="shared" si="25"/>
        <v>0</v>
      </c>
      <c r="AC47" s="203">
        <f t="shared" si="25"/>
        <v>0</v>
      </c>
      <c r="AD47" s="203">
        <f t="shared" si="25"/>
        <v>0</v>
      </c>
      <c r="AE47" s="203">
        <f t="shared" si="25"/>
        <v>0</v>
      </c>
      <c r="AF47" s="203">
        <f>AF45+AF46</f>
        <v>0</v>
      </c>
      <c r="AG47" s="203">
        <f>AG45+AG46</f>
        <v>0</v>
      </c>
    </row>
    <row r="48" spans="3:26" ht="15.75">
      <c r="C48" s="177"/>
      <c r="D48" s="178"/>
      <c r="E48" s="179"/>
      <c r="F48" s="179"/>
      <c r="G48" s="179"/>
      <c r="H48" s="179"/>
      <c r="I48" s="179"/>
      <c r="J48" s="179"/>
      <c r="K48" s="179"/>
      <c r="L48" s="173"/>
      <c r="M48" s="173"/>
      <c r="N48" s="173"/>
      <c r="O48" s="173"/>
      <c r="P48" s="173"/>
      <c r="Q48" s="173"/>
      <c r="R48" s="173"/>
      <c r="S48" s="174"/>
      <c r="T48" s="174"/>
      <c r="U48" s="174"/>
      <c r="V48" s="174"/>
      <c r="W48" s="174"/>
      <c r="X48" s="174"/>
      <c r="Y48" s="174"/>
      <c r="Z48" s="1"/>
    </row>
    <row r="49" spans="3:25" ht="15.75" customHeight="1">
      <c r="C49" s="1548" t="s">
        <v>156</v>
      </c>
      <c r="D49" s="1548"/>
      <c r="E49" s="1548"/>
      <c r="F49" s="1548"/>
      <c r="G49" s="1548"/>
      <c r="H49" s="1548"/>
      <c r="I49" s="1548"/>
      <c r="J49" s="1548"/>
      <c r="K49" s="1548"/>
      <c r="L49" s="1548"/>
      <c r="M49" s="1548"/>
      <c r="N49" s="1548"/>
      <c r="O49" s="1548"/>
      <c r="P49" s="1548"/>
      <c r="Q49" s="1548"/>
      <c r="R49" s="1548"/>
      <c r="S49" s="1548"/>
      <c r="T49" s="180"/>
      <c r="U49" s="180"/>
      <c r="V49" s="180"/>
      <c r="W49" s="180"/>
      <c r="X49" s="180"/>
      <c r="Y49" s="180"/>
    </row>
    <row r="50" spans="1:25" ht="16.5" thickBot="1">
      <c r="A50" s="190" t="s">
        <v>157</v>
      </c>
      <c r="B50" s="190"/>
      <c r="C50" s="1550"/>
      <c r="D50" s="1550"/>
      <c r="E50" s="172"/>
      <c r="F50" s="172"/>
      <c r="G50" s="172"/>
      <c r="H50" s="172"/>
      <c r="I50" s="172"/>
      <c r="J50" s="172"/>
      <c r="K50" s="172"/>
      <c r="L50" s="173"/>
      <c r="M50" s="173"/>
      <c r="N50" s="173"/>
      <c r="O50" s="173"/>
      <c r="P50" s="173"/>
      <c r="Q50" s="173"/>
      <c r="R50" s="173"/>
      <c r="S50" s="174">
        <v>0</v>
      </c>
      <c r="T50" s="174"/>
      <c r="U50" s="174"/>
      <c r="V50" s="174"/>
      <c r="W50" s="174"/>
      <c r="X50" s="174"/>
      <c r="Y50" s="174"/>
    </row>
    <row r="51" spans="1:33" ht="27.75" customHeight="1">
      <c r="A51" s="185" t="s">
        <v>26</v>
      </c>
      <c r="B51" s="1552" t="s">
        <v>611</v>
      </c>
      <c r="C51" s="1553"/>
      <c r="D51" s="1554"/>
      <c r="E51" s="191">
        <v>0</v>
      </c>
      <c r="F51" s="191">
        <v>0</v>
      </c>
      <c r="G51" s="191">
        <v>0</v>
      </c>
      <c r="H51" s="191">
        <v>0</v>
      </c>
      <c r="I51" s="191">
        <v>0</v>
      </c>
      <c r="J51" s="191">
        <v>0</v>
      </c>
      <c r="K51" s="191"/>
      <c r="L51" s="191">
        <v>0</v>
      </c>
      <c r="M51" s="191">
        <v>0</v>
      </c>
      <c r="N51" s="191">
        <v>0</v>
      </c>
      <c r="O51" s="191">
        <v>0</v>
      </c>
      <c r="P51" s="191">
        <v>0</v>
      </c>
      <c r="Q51" s="191">
        <v>0</v>
      </c>
      <c r="R51" s="191"/>
      <c r="S51" s="191">
        <v>0</v>
      </c>
      <c r="T51" s="191">
        <v>0</v>
      </c>
      <c r="U51" s="191">
        <v>0</v>
      </c>
      <c r="V51" s="191">
        <v>0</v>
      </c>
      <c r="W51" s="191">
        <v>0</v>
      </c>
      <c r="X51" s="191">
        <v>0</v>
      </c>
      <c r="Y51" s="191"/>
      <c r="Z51" s="191">
        <v>0</v>
      </c>
      <c r="AA51" s="191">
        <v>0</v>
      </c>
      <c r="AB51" s="191">
        <v>0</v>
      </c>
      <c r="AC51" s="191">
        <v>0</v>
      </c>
      <c r="AD51" s="191">
        <v>0</v>
      </c>
      <c r="AE51" s="191">
        <v>0</v>
      </c>
      <c r="AF51" s="191">
        <v>0</v>
      </c>
      <c r="AG51" s="191">
        <v>0</v>
      </c>
    </row>
    <row r="52" spans="1:33" ht="27.75" customHeight="1">
      <c r="A52" s="186" t="s">
        <v>27</v>
      </c>
      <c r="B52" s="1576" t="s">
        <v>612</v>
      </c>
      <c r="C52" s="1577"/>
      <c r="D52" s="1578"/>
      <c r="E52" s="192">
        <f>'1.sz.m-önk.össze.bev'!E59</f>
        <v>0</v>
      </c>
      <c r="F52" s="192">
        <f>'1.sz.m-önk.össze.bev'!F59</f>
        <v>0</v>
      </c>
      <c r="G52" s="192">
        <f>'1.sz.m-önk.össze.bev'!G59</f>
        <v>0</v>
      </c>
      <c r="H52" s="192"/>
      <c r="I52" s="192"/>
      <c r="J52" s="192"/>
      <c r="K52" s="192"/>
      <c r="L52" s="192">
        <f>'1.sz.m-önk.össze.bev'!L59</f>
        <v>0</v>
      </c>
      <c r="M52" s="192">
        <f>'1.sz.m-önk.össze.bev'!M59</f>
        <v>0</v>
      </c>
      <c r="N52" s="192">
        <f>'1.sz.m-önk.össze.bev'!N59</f>
        <v>0</v>
      </c>
      <c r="O52" s="192"/>
      <c r="P52" s="192">
        <v>0</v>
      </c>
      <c r="Q52" s="192"/>
      <c r="R52" s="192"/>
      <c r="S52" s="192">
        <f>'1.sz.m-önk.össze.bev'!S59</f>
        <v>0</v>
      </c>
      <c r="T52" s="192">
        <f>'1.sz.m-önk.össze.bev'!T59</f>
        <v>0</v>
      </c>
      <c r="U52" s="192">
        <f>'1.sz.m-önk.össze.bev'!U59</f>
        <v>0</v>
      </c>
      <c r="V52" s="192">
        <f>'1.sz.m-önk.össze.bev'!V59</f>
        <v>0</v>
      </c>
      <c r="W52" s="192">
        <f>'1.sz.m-önk.össze.bev'!W59</f>
        <v>0</v>
      </c>
      <c r="X52" s="192">
        <f>'1.sz.m-önk.össze.bev'!X59</f>
        <v>0</v>
      </c>
      <c r="Y52" s="192"/>
      <c r="Z52" s="192">
        <f>'1.sz.m-önk.össze.bev'!Z59</f>
        <v>0</v>
      </c>
      <c r="AA52" s="192">
        <f>'1.sz.m-önk.össze.bev'!AA59</f>
        <v>0</v>
      </c>
      <c r="AB52" s="192">
        <f>'1.sz.m-önk.össze.bev'!AB59</f>
        <v>0</v>
      </c>
      <c r="AC52" s="192">
        <f>'1.sz.m-önk.össze.bev'!AC59</f>
        <v>0</v>
      </c>
      <c r="AD52" s="192">
        <f>'1.sz.m-önk.össze.bev'!AD59</f>
        <v>0</v>
      </c>
      <c r="AE52" s="192">
        <f>'1.sz.m-önk.össze.bev'!AE59</f>
        <v>0</v>
      </c>
      <c r="AF52" s="192">
        <f>'1.sz.m-önk.össze.bev'!AF59</f>
        <v>0</v>
      </c>
      <c r="AG52" s="192">
        <f>'1.sz.m-önk.össze.bev'!AG59</f>
        <v>0</v>
      </c>
    </row>
    <row r="53" spans="1:33" ht="27.75" customHeight="1" thickBot="1">
      <c r="A53" s="187" t="s">
        <v>9</v>
      </c>
      <c r="B53" s="1583" t="s">
        <v>613</v>
      </c>
      <c r="C53" s="1584"/>
      <c r="D53" s="1585"/>
      <c r="E53" s="193">
        <f aca="true" t="shared" si="26" ref="E53:J53">E51+E52</f>
        <v>0</v>
      </c>
      <c r="F53" s="193">
        <f t="shared" si="26"/>
        <v>0</v>
      </c>
      <c r="G53" s="193">
        <f t="shared" si="26"/>
        <v>0</v>
      </c>
      <c r="H53" s="193">
        <f t="shared" si="26"/>
        <v>0</v>
      </c>
      <c r="I53" s="193">
        <f>I51+I52</f>
        <v>0</v>
      </c>
      <c r="J53" s="193">
        <f t="shared" si="26"/>
        <v>0</v>
      </c>
      <c r="K53" s="193"/>
      <c r="L53" s="193">
        <f aca="true" t="shared" si="27" ref="L53:AG53">L51+L52</f>
        <v>0</v>
      </c>
      <c r="M53" s="193">
        <f t="shared" si="27"/>
        <v>0</v>
      </c>
      <c r="N53" s="193">
        <f t="shared" si="27"/>
        <v>0</v>
      </c>
      <c r="O53" s="193">
        <f t="shared" si="27"/>
        <v>0</v>
      </c>
      <c r="P53" s="193">
        <f t="shared" si="27"/>
        <v>0</v>
      </c>
      <c r="Q53" s="193">
        <f>Q51+Q52</f>
        <v>0</v>
      </c>
      <c r="R53" s="193"/>
      <c r="S53" s="193">
        <f t="shared" si="27"/>
        <v>0</v>
      </c>
      <c r="T53" s="193">
        <f t="shared" si="27"/>
        <v>0</v>
      </c>
      <c r="U53" s="193">
        <f t="shared" si="27"/>
        <v>0</v>
      </c>
      <c r="V53" s="193">
        <f t="shared" si="27"/>
        <v>0</v>
      </c>
      <c r="W53" s="193">
        <f t="shared" si="27"/>
        <v>0</v>
      </c>
      <c r="X53" s="193">
        <f t="shared" si="27"/>
        <v>0</v>
      </c>
      <c r="Y53" s="193"/>
      <c r="Z53" s="193">
        <f t="shared" si="27"/>
        <v>0</v>
      </c>
      <c r="AA53" s="193">
        <f t="shared" si="27"/>
        <v>0</v>
      </c>
      <c r="AB53" s="193">
        <f t="shared" si="27"/>
        <v>0</v>
      </c>
      <c r="AC53" s="193">
        <f t="shared" si="27"/>
        <v>0</v>
      </c>
      <c r="AD53" s="193">
        <f t="shared" si="27"/>
        <v>0</v>
      </c>
      <c r="AE53" s="193">
        <f t="shared" si="27"/>
        <v>0</v>
      </c>
      <c r="AF53" s="193">
        <f t="shared" si="27"/>
        <v>0</v>
      </c>
      <c r="AG53" s="193">
        <f t="shared" si="27"/>
        <v>0</v>
      </c>
    </row>
    <row r="54" spans="3:30" ht="15.75">
      <c r="C54" s="177"/>
      <c r="D54" s="178"/>
      <c r="E54" s="179"/>
      <c r="F54" s="179"/>
      <c r="G54" s="179"/>
      <c r="H54" s="179"/>
      <c r="I54" s="179"/>
      <c r="J54" s="179"/>
      <c r="K54" s="179"/>
      <c r="L54" s="173"/>
      <c r="M54" s="173"/>
      <c r="N54" s="173"/>
      <c r="O54" s="173"/>
      <c r="P54" s="173"/>
      <c r="Q54" s="173"/>
      <c r="R54" s="173"/>
      <c r="S54" s="174"/>
      <c r="T54" s="174"/>
      <c r="U54" s="174"/>
      <c r="V54" s="174"/>
      <c r="W54" s="174"/>
      <c r="X54" s="174"/>
      <c r="Y54" s="174"/>
      <c r="AD54" s="41"/>
    </row>
    <row r="55" spans="3:25" ht="15.75" customHeight="1">
      <c r="C55" s="1548" t="s">
        <v>54</v>
      </c>
      <c r="D55" s="1548"/>
      <c r="E55" s="1548"/>
      <c r="F55" s="1548"/>
      <c r="G55" s="1548"/>
      <c r="H55" s="1548"/>
      <c r="I55" s="1548"/>
      <c r="J55" s="1548"/>
      <c r="K55" s="1548"/>
      <c r="L55" s="1548"/>
      <c r="M55" s="1548"/>
      <c r="N55" s="1548"/>
      <c r="O55" s="1548"/>
      <c r="P55" s="1548"/>
      <c r="Q55" s="1548"/>
      <c r="R55" s="1548"/>
      <c r="S55" s="1548"/>
      <c r="T55" s="180"/>
      <c r="U55" s="180"/>
      <c r="V55" s="180"/>
      <c r="W55" s="180"/>
      <c r="X55" s="180"/>
      <c r="Y55" s="180"/>
    </row>
    <row r="56" spans="3:25" ht="15.75">
      <c r="C56" s="180"/>
      <c r="D56" s="180"/>
      <c r="E56" s="180"/>
      <c r="F56" s="180"/>
      <c r="G56" s="180"/>
      <c r="H56" s="180"/>
      <c r="I56" s="180"/>
      <c r="J56" s="180"/>
      <c r="K56" s="180"/>
      <c r="L56" s="173"/>
      <c r="M56" s="173"/>
      <c r="N56" s="173"/>
      <c r="O56" s="173"/>
      <c r="P56" s="173"/>
      <c r="Q56" s="173"/>
      <c r="R56" s="173"/>
      <c r="S56" s="181"/>
      <c r="T56" s="181"/>
      <c r="U56" s="181"/>
      <c r="V56" s="181"/>
      <c r="W56" s="181"/>
      <c r="X56" s="181"/>
      <c r="Y56" s="181"/>
    </row>
    <row r="57" spans="1:25" ht="16.5" thickBot="1">
      <c r="A57" s="190" t="s">
        <v>194</v>
      </c>
      <c r="C57" s="1549"/>
      <c r="D57" s="1549"/>
      <c r="E57" s="180"/>
      <c r="F57" s="180"/>
      <c r="G57" s="180"/>
      <c r="H57" s="180"/>
      <c r="I57" s="180"/>
      <c r="J57" s="180"/>
      <c r="K57" s="180"/>
      <c r="L57" s="173"/>
      <c r="M57" s="173"/>
      <c r="N57" s="173"/>
      <c r="O57" s="173"/>
      <c r="P57" s="173"/>
      <c r="Q57" s="173"/>
      <c r="R57" s="173"/>
      <c r="S57" s="181"/>
      <c r="T57" s="181"/>
      <c r="U57" s="181"/>
      <c r="V57" s="181"/>
      <c r="W57" s="181"/>
      <c r="X57" s="181"/>
      <c r="Y57" s="181"/>
    </row>
    <row r="58" spans="1:33" ht="27" customHeight="1">
      <c r="A58" s="197" t="s">
        <v>26</v>
      </c>
      <c r="B58" s="1586" t="s">
        <v>158</v>
      </c>
      <c r="C58" s="1586"/>
      <c r="D58" s="1586"/>
      <c r="E58" s="198">
        <f aca="true" t="shared" si="28" ref="E58:J58">E59-E62</f>
        <v>179616859</v>
      </c>
      <c r="F58" s="198">
        <f t="shared" si="28"/>
        <v>179616859</v>
      </c>
      <c r="G58" s="198">
        <f t="shared" si="28"/>
        <v>179616859</v>
      </c>
      <c r="H58" s="198">
        <f t="shared" si="28"/>
        <v>179616859</v>
      </c>
      <c r="I58" s="198">
        <f t="shared" si="28"/>
        <v>190529505</v>
      </c>
      <c r="J58" s="198">
        <f t="shared" si="28"/>
        <v>190529505</v>
      </c>
      <c r="K58" s="198"/>
      <c r="L58" s="198">
        <f aca="true" t="shared" si="29" ref="L58:AE58">L59-L62</f>
        <v>159716826</v>
      </c>
      <c r="M58" s="198">
        <f t="shared" si="29"/>
        <v>159716826</v>
      </c>
      <c r="N58" s="198">
        <f>N59-N62</f>
        <v>159716826</v>
      </c>
      <c r="O58" s="198">
        <f>O59-O62</f>
        <v>159716826</v>
      </c>
      <c r="P58" s="198">
        <f>P59-P62</f>
        <v>170629472</v>
      </c>
      <c r="Q58" s="198">
        <f>Q59-Q62</f>
        <v>170629472</v>
      </c>
      <c r="R58" s="198"/>
      <c r="S58" s="198">
        <f t="shared" si="29"/>
        <v>19900033</v>
      </c>
      <c r="T58" s="198">
        <f>T59-T62</f>
        <v>19900033</v>
      </c>
      <c r="U58" s="198">
        <f>U59-U62</f>
        <v>19900033</v>
      </c>
      <c r="V58" s="198">
        <f>V59-V62</f>
        <v>19900033</v>
      </c>
      <c r="W58" s="198">
        <f t="shared" si="29"/>
        <v>19900033</v>
      </c>
      <c r="X58" s="198">
        <f t="shared" si="29"/>
        <v>19900033</v>
      </c>
      <c r="Y58" s="198"/>
      <c r="Z58" s="198">
        <f t="shared" si="29"/>
        <v>0</v>
      </c>
      <c r="AA58" s="198">
        <f t="shared" si="29"/>
        <v>0</v>
      </c>
      <c r="AB58" s="198">
        <f t="shared" si="29"/>
        <v>0</v>
      </c>
      <c r="AC58" s="198">
        <f t="shared" si="29"/>
        <v>0</v>
      </c>
      <c r="AD58" s="198">
        <f t="shared" si="29"/>
        <v>0</v>
      </c>
      <c r="AE58" s="198">
        <f t="shared" si="29"/>
        <v>0</v>
      </c>
      <c r="AF58" s="198">
        <f>AF59-AF62</f>
        <v>0</v>
      </c>
      <c r="AG58" s="198">
        <f>AG59-AG62</f>
        <v>0</v>
      </c>
    </row>
    <row r="59" spans="1:33" ht="27" customHeight="1">
      <c r="A59" s="194" t="s">
        <v>159</v>
      </c>
      <c r="B59" s="1566" t="s">
        <v>442</v>
      </c>
      <c r="C59" s="1566"/>
      <c r="D59" s="1566"/>
      <c r="E59" s="199">
        <f>'1.sz.m-önk.össze.bev'!E58</f>
        <v>192197217</v>
      </c>
      <c r="F59" s="199">
        <f>'1.sz.m-önk.össze.bev'!F58</f>
        <v>192197217</v>
      </c>
      <c r="G59" s="199">
        <f>'1.sz.m-önk.össze.bev'!G58</f>
        <v>192197217</v>
      </c>
      <c r="H59" s="199">
        <f>'1.sz.m-önk.össze.bev'!H58</f>
        <v>192197217</v>
      </c>
      <c r="I59" s="199">
        <f>'1.sz.m-önk.össze.bev'!I58</f>
        <v>203109863</v>
      </c>
      <c r="J59" s="199">
        <f>'1.sz.m-önk.össze.bev'!J58</f>
        <v>203109863</v>
      </c>
      <c r="K59" s="199"/>
      <c r="L59" s="199">
        <f>'1.sz.m-önk.össze.bev'!L58</f>
        <v>172297184</v>
      </c>
      <c r="M59" s="199">
        <f>'1.sz.m-önk.össze.bev'!M58</f>
        <v>172297184</v>
      </c>
      <c r="N59" s="199">
        <f>'1.sz.m-önk.össze.bev'!N58</f>
        <v>172297184</v>
      </c>
      <c r="O59" s="199">
        <f>'1.sz.m-önk.össze.bev'!O58</f>
        <v>172297184</v>
      </c>
      <c r="P59" s="199">
        <f>'1.sz.m-önk.össze.bev'!P58</f>
        <v>183209830</v>
      </c>
      <c r="Q59" s="199">
        <f>'1.sz.m-önk.össze.bev'!Q58</f>
        <v>183209830</v>
      </c>
      <c r="R59" s="199"/>
      <c r="S59" s="199">
        <f>'1.sz.m-önk.össze.bev'!S58</f>
        <v>19900033</v>
      </c>
      <c r="T59" s="199">
        <f>'1.sz.m-önk.össze.bev'!T58</f>
        <v>19900033</v>
      </c>
      <c r="U59" s="199">
        <f>'1.sz.m-önk.össze.bev'!U58</f>
        <v>19900033</v>
      </c>
      <c r="V59" s="199">
        <f>'1.sz.m-önk.össze.bev'!V58</f>
        <v>19900033</v>
      </c>
      <c r="W59" s="199">
        <f>'1.sz.m-önk.össze.bev'!W58</f>
        <v>19900033</v>
      </c>
      <c r="X59" s="199">
        <f>'1.sz.m-önk.össze.bev'!X58</f>
        <v>19900033</v>
      </c>
      <c r="Y59" s="199"/>
      <c r="Z59" s="199">
        <f>'1.sz.m-önk.össze.bev'!Z58</f>
        <v>0</v>
      </c>
      <c r="AA59" s="199">
        <f>'1.sz.m-önk.össze.bev'!AA58</f>
        <v>0</v>
      </c>
      <c r="AB59" s="199">
        <f>'1.sz.m-önk.össze.bev'!AB58</f>
        <v>0</v>
      </c>
      <c r="AC59" s="199">
        <f>'1.sz.m-önk.össze.bev'!AC58</f>
        <v>0</v>
      </c>
      <c r="AD59" s="199">
        <f>'1.sz.m-önk.össze.bev'!AD58</f>
        <v>0</v>
      </c>
      <c r="AE59" s="199">
        <f>'1.sz.m-önk.össze.bev'!AE58</f>
        <v>0</v>
      </c>
      <c r="AF59" s="199">
        <f>'1.sz.m-önk.össze.bev'!AF58</f>
        <v>0</v>
      </c>
      <c r="AG59" s="199">
        <f>'1.sz.m-önk.össze.bev'!AG58</f>
        <v>0</v>
      </c>
    </row>
    <row r="60" spans="1:33" ht="27" customHeight="1">
      <c r="A60" s="194" t="s">
        <v>160</v>
      </c>
      <c r="B60" s="1565" t="s">
        <v>198</v>
      </c>
      <c r="C60" s="1565"/>
      <c r="D60" s="1565"/>
      <c r="E60" s="199">
        <f>'1.sz.m-önk.össze.bev'!E61-'2.sz.m.összehasonlító'!B27+'1.sz.m-önk.össze.bev'!E60</f>
        <v>120716004</v>
      </c>
      <c r="F60" s="199">
        <f>'1.sz.m-önk.össze.bev'!F61-'2.sz.m.összehasonlító'!C27+'1.sz.m-önk.össze.bev'!F60</f>
        <v>120716004</v>
      </c>
      <c r="G60" s="199">
        <f>'1.sz.m-önk.össze.bev'!G61-'2.sz.m.összehasonlító'!D27+'1.sz.m-önk.össze.bev'!G60</f>
        <v>120716004</v>
      </c>
      <c r="H60" s="199">
        <f>+'2.sz.m.összehasonlító'!E18</f>
        <v>120716004</v>
      </c>
      <c r="I60" s="199">
        <f>+'2.sz.m.összehasonlító'!F18</f>
        <v>120716004</v>
      </c>
      <c r="J60" s="199">
        <f>+'2.sz.m.összehasonlító'!G18</f>
        <v>120716004</v>
      </c>
      <c r="K60" s="199"/>
      <c r="L60" s="199">
        <f>+L45</f>
        <v>108231415</v>
      </c>
      <c r="M60" s="199">
        <f>'1.sz.m-önk.össze.bev'!F61-'2.sz.m.összehasonlító'!C27+'1.sz.m-önk.össze.bev'!F60</f>
        <v>120716004</v>
      </c>
      <c r="N60" s="199">
        <f>'1.sz.m-önk.össze.bev'!G61-'2.sz.m.összehasonlító'!D27+'1.sz.m-önk.össze.bev'!G60</f>
        <v>120716004</v>
      </c>
      <c r="O60" s="199">
        <f>+'2.sz.m.összehasonlító'!E18</f>
        <v>120716004</v>
      </c>
      <c r="P60" s="199">
        <f>'1.sz.m-önk.össze.bev'!I61-'2.sz.m.összehasonlító'!F27+'1.sz.m-önk.össze.bev'!I60</f>
        <v>120716004</v>
      </c>
      <c r="Q60" s="199">
        <f>'1.sz.m-önk.össze.bev'!J61-'2.sz.m.összehasonlító'!G27+'1.sz.m-önk.össze.bev'!J60</f>
        <v>120716004</v>
      </c>
      <c r="R60" s="199"/>
      <c r="S60" s="199">
        <f aca="true" t="shared" si="30" ref="S60:X61">+S45</f>
        <v>12484589</v>
      </c>
      <c r="T60" s="199">
        <f t="shared" si="30"/>
        <v>12484589</v>
      </c>
      <c r="U60" s="199">
        <f t="shared" si="30"/>
        <v>12484589</v>
      </c>
      <c r="V60" s="199">
        <f>+V45</f>
        <v>12484589</v>
      </c>
      <c r="W60" s="199">
        <f t="shared" si="30"/>
        <v>12484588</v>
      </c>
      <c r="X60" s="199">
        <f t="shared" si="30"/>
        <v>12484587</v>
      </c>
      <c r="Y60" s="199"/>
      <c r="Z60" s="199">
        <f>'1.sz.m-önk.össze.bev'!Z61</f>
        <v>0</v>
      </c>
      <c r="AA60" s="199">
        <f>'1.sz.m-önk.össze.bev'!AA61</f>
        <v>0</v>
      </c>
      <c r="AB60" s="199">
        <f>'1.sz.m-önk.össze.bev'!AB61</f>
        <v>0</v>
      </c>
      <c r="AC60" s="199">
        <f>'1.sz.m-önk.össze.bev'!AC61</f>
        <v>0</v>
      </c>
      <c r="AD60" s="199">
        <f>'1.sz.m-önk.össze.bev'!AD61</f>
        <v>0</v>
      </c>
      <c r="AE60" s="199">
        <f>'1.sz.m-önk.össze.bev'!AE61</f>
        <v>0</v>
      </c>
      <c r="AF60" s="199">
        <f>'1.sz.m-önk.össze.bev'!AF61</f>
        <v>0</v>
      </c>
      <c r="AG60" s="199">
        <f>'1.sz.m-önk.össze.bev'!AG61</f>
        <v>0</v>
      </c>
    </row>
    <row r="61" spans="1:33" ht="27" customHeight="1">
      <c r="A61" s="195" t="s">
        <v>161</v>
      </c>
      <c r="B61" s="1565" t="s">
        <v>199</v>
      </c>
      <c r="C61" s="1565"/>
      <c r="D61" s="1565"/>
      <c r="E61" s="199">
        <f>'1.sz.m-önk.össze.bev'!E59+'2.sz.m.összehasonlító'!B27</f>
        <v>71481213</v>
      </c>
      <c r="F61" s="199">
        <f>'1.sz.m-önk.össze.bev'!F59+'2.sz.m.összehasonlító'!C27</f>
        <v>71481213</v>
      </c>
      <c r="G61" s="199">
        <f>'1.sz.m-önk.össze.bev'!G59+'2.sz.m.összehasonlító'!D27</f>
        <v>71481213</v>
      </c>
      <c r="H61" s="199">
        <f>'2.sz.m.összehasonlító'!E27+'2.sz.m.összehasonlító'!E28</f>
        <v>71481213</v>
      </c>
      <c r="I61" s="199">
        <f>'2.sz.m.összehasonlító'!F27+'2.sz.m.összehasonlító'!F28</f>
        <v>82393859</v>
      </c>
      <c r="J61" s="199">
        <f>'2.sz.m.összehasonlító'!G27+'2.sz.m.összehasonlító'!G28</f>
        <v>82393859</v>
      </c>
      <c r="K61" s="199"/>
      <c r="L61" s="199">
        <f>+L46</f>
        <v>64065769</v>
      </c>
      <c r="M61" s="199">
        <f>'1.sz.m-önk.össze.bev'!M59+'2.sz.m.összehasonlító'!C27</f>
        <v>71481213</v>
      </c>
      <c r="N61" s="199">
        <f>'1.sz.m-önk.össze.bev'!N59+'2.sz.m.összehasonlító'!D27</f>
        <v>71481213</v>
      </c>
      <c r="O61" s="199">
        <f>'2.sz.m.összehasonlító'!E27+'2.sz.m.összehasonlító'!E28</f>
        <v>71481213</v>
      </c>
      <c r="P61" s="199">
        <f>'1.sz.m-önk.össze.bev'!P59+'2.sz.m.összehasonlító'!F27</f>
        <v>82393859</v>
      </c>
      <c r="Q61" s="199">
        <f>'1.sz.m-önk.össze.bev'!Q59+'2.sz.m.összehasonlító'!G27</f>
        <v>82393859</v>
      </c>
      <c r="R61" s="199"/>
      <c r="S61" s="199">
        <f>+S46</f>
        <v>7415444</v>
      </c>
      <c r="T61" s="199">
        <f t="shared" si="30"/>
        <v>7415444</v>
      </c>
      <c r="U61" s="199">
        <f t="shared" si="30"/>
        <v>7415444</v>
      </c>
      <c r="V61" s="199">
        <f>+V46</f>
        <v>7415444</v>
      </c>
      <c r="W61" s="199">
        <f>+W46</f>
        <v>7415445</v>
      </c>
      <c r="X61" s="199">
        <f>+X46</f>
        <v>7415446</v>
      </c>
      <c r="Y61" s="199"/>
      <c r="Z61" s="199">
        <f>'1.sz.m-önk.össze.bev'!Z59</f>
        <v>0</v>
      </c>
      <c r="AA61" s="199">
        <f>'1.sz.m-önk.össze.bev'!AA59</f>
        <v>0</v>
      </c>
      <c r="AB61" s="199">
        <f>'1.sz.m-önk.össze.bev'!AB59</f>
        <v>0</v>
      </c>
      <c r="AC61" s="199">
        <f>'1.sz.m-önk.össze.bev'!AC59</f>
        <v>0</v>
      </c>
      <c r="AD61" s="199">
        <f>'1.sz.m-önk.össze.bev'!AD59</f>
        <v>0</v>
      </c>
      <c r="AE61" s="199">
        <f>'1.sz.m-önk.össze.bev'!AE59</f>
        <v>0</v>
      </c>
      <c r="AF61" s="199">
        <f>'1.sz.m-önk.össze.bev'!AF59</f>
        <v>0</v>
      </c>
      <c r="AG61" s="199">
        <f>'1.sz.m-önk.össze.bev'!AG59</f>
        <v>0</v>
      </c>
    </row>
    <row r="62" spans="1:33" ht="27" customHeight="1">
      <c r="A62" s="196" t="s">
        <v>162</v>
      </c>
      <c r="B62" s="1566" t="s">
        <v>443</v>
      </c>
      <c r="C62" s="1566"/>
      <c r="D62" s="1566"/>
      <c r="E62" s="200">
        <f aca="true" t="shared" si="31" ref="E62:J62">E30</f>
        <v>12580358</v>
      </c>
      <c r="F62" s="200">
        <f t="shared" si="31"/>
        <v>12580358</v>
      </c>
      <c r="G62" s="200">
        <f t="shared" si="31"/>
        <v>12580358</v>
      </c>
      <c r="H62" s="200">
        <f t="shared" si="31"/>
        <v>12580358</v>
      </c>
      <c r="I62" s="200">
        <f t="shared" si="31"/>
        <v>12580358</v>
      </c>
      <c r="J62" s="200">
        <f t="shared" si="31"/>
        <v>12580358</v>
      </c>
      <c r="K62" s="200"/>
      <c r="L62" s="200">
        <f aca="true" t="shared" si="32" ref="L62:AE62">L30</f>
        <v>12580358</v>
      </c>
      <c r="M62" s="200">
        <f t="shared" si="32"/>
        <v>12580358</v>
      </c>
      <c r="N62" s="200">
        <f>N30</f>
        <v>12580358</v>
      </c>
      <c r="O62" s="200">
        <f>O30</f>
        <v>12580358</v>
      </c>
      <c r="P62" s="200">
        <f>P30</f>
        <v>12580358</v>
      </c>
      <c r="Q62" s="200">
        <f>Q30</f>
        <v>12580358</v>
      </c>
      <c r="R62" s="200"/>
      <c r="S62" s="200">
        <f t="shared" si="32"/>
        <v>0</v>
      </c>
      <c r="T62" s="200">
        <f>T30</f>
        <v>0</v>
      </c>
      <c r="U62" s="200">
        <f>U30</f>
        <v>0</v>
      </c>
      <c r="V62" s="200">
        <f>V30</f>
        <v>0</v>
      </c>
      <c r="W62" s="200">
        <f t="shared" si="32"/>
        <v>0</v>
      </c>
      <c r="X62" s="200">
        <f t="shared" si="32"/>
        <v>0</v>
      </c>
      <c r="Y62" s="200"/>
      <c r="Z62" s="200">
        <f t="shared" si="32"/>
        <v>0</v>
      </c>
      <c r="AA62" s="200">
        <f t="shared" si="32"/>
        <v>0</v>
      </c>
      <c r="AB62" s="200">
        <f t="shared" si="32"/>
        <v>0</v>
      </c>
      <c r="AC62" s="200">
        <f t="shared" si="32"/>
        <v>0</v>
      </c>
      <c r="AD62" s="200">
        <f t="shared" si="32"/>
        <v>0</v>
      </c>
      <c r="AE62" s="200">
        <f t="shared" si="32"/>
        <v>0</v>
      </c>
      <c r="AF62" s="200">
        <f>AF30</f>
        <v>0</v>
      </c>
      <c r="AG62" s="200">
        <f>AG30</f>
        <v>0</v>
      </c>
    </row>
    <row r="63" spans="1:33" ht="27" customHeight="1">
      <c r="A63" s="194" t="s">
        <v>163</v>
      </c>
      <c r="B63" s="1565" t="s">
        <v>200</v>
      </c>
      <c r="C63" s="1565"/>
      <c r="D63" s="1565"/>
      <c r="E63" s="199">
        <f aca="true" t="shared" si="33" ref="E63:J63">E33+E32</f>
        <v>10312557</v>
      </c>
      <c r="F63" s="199">
        <f t="shared" si="33"/>
        <v>10312557</v>
      </c>
      <c r="G63" s="199">
        <f t="shared" si="33"/>
        <v>10312557</v>
      </c>
      <c r="H63" s="199">
        <f t="shared" si="33"/>
        <v>10312557</v>
      </c>
      <c r="I63" s="199">
        <f t="shared" si="33"/>
        <v>10312557</v>
      </c>
      <c r="J63" s="199">
        <f t="shared" si="33"/>
        <v>10312557</v>
      </c>
      <c r="K63" s="199"/>
      <c r="L63" s="199">
        <f>L33+L32</f>
        <v>10312557</v>
      </c>
      <c r="M63" s="199">
        <f>M62</f>
        <v>12580358</v>
      </c>
      <c r="N63" s="199">
        <f>N62</f>
        <v>12580358</v>
      </c>
      <c r="O63" s="199">
        <f>O62</f>
        <v>12580358</v>
      </c>
      <c r="P63" s="199">
        <f>P62</f>
        <v>12580358</v>
      </c>
      <c r="Q63" s="199">
        <f>Q62</f>
        <v>12580358</v>
      </c>
      <c r="R63" s="199"/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/>
      <c r="Z63" s="199">
        <v>0</v>
      </c>
      <c r="AA63" s="199">
        <v>0</v>
      </c>
      <c r="AB63" s="199">
        <v>0</v>
      </c>
      <c r="AC63" s="199">
        <v>0</v>
      </c>
      <c r="AD63" s="199">
        <v>0</v>
      </c>
      <c r="AE63" s="199">
        <v>0</v>
      </c>
      <c r="AF63" s="199">
        <v>0</v>
      </c>
      <c r="AG63" s="199">
        <v>0</v>
      </c>
    </row>
    <row r="64" spans="1:33" ht="27" customHeight="1" thickBot="1">
      <c r="A64" s="201" t="s">
        <v>164</v>
      </c>
      <c r="B64" s="1582" t="s">
        <v>201</v>
      </c>
      <c r="C64" s="1582"/>
      <c r="D64" s="1582"/>
      <c r="E64" s="202">
        <f aca="true" t="shared" si="34" ref="E64:J64">E31</f>
        <v>2267801</v>
      </c>
      <c r="F64" s="202">
        <f t="shared" si="34"/>
        <v>2267801</v>
      </c>
      <c r="G64" s="202">
        <f t="shared" si="34"/>
        <v>2267801</v>
      </c>
      <c r="H64" s="202">
        <f t="shared" si="34"/>
        <v>2267801</v>
      </c>
      <c r="I64" s="202">
        <f t="shared" si="34"/>
        <v>2267801</v>
      </c>
      <c r="J64" s="202">
        <f t="shared" si="34"/>
        <v>2267801</v>
      </c>
      <c r="K64" s="202"/>
      <c r="L64" s="202">
        <f aca="true" t="shared" si="35" ref="L64:Q64">L31</f>
        <v>2267801</v>
      </c>
      <c r="M64" s="202">
        <f t="shared" si="35"/>
        <v>2267801</v>
      </c>
      <c r="N64" s="202">
        <f t="shared" si="35"/>
        <v>2267801</v>
      </c>
      <c r="O64" s="202">
        <f t="shared" si="35"/>
        <v>2267801</v>
      </c>
      <c r="P64" s="202">
        <f t="shared" si="35"/>
        <v>2267801</v>
      </c>
      <c r="Q64" s="202">
        <f t="shared" si="35"/>
        <v>2267801</v>
      </c>
      <c r="R64" s="202"/>
      <c r="S64" s="202">
        <v>0</v>
      </c>
      <c r="T64" s="202">
        <v>0</v>
      </c>
      <c r="U64" s="202">
        <v>0</v>
      </c>
      <c r="V64" s="202">
        <v>0</v>
      </c>
      <c r="W64" s="202">
        <v>0</v>
      </c>
      <c r="X64" s="202">
        <v>0</v>
      </c>
      <c r="Y64" s="202"/>
      <c r="Z64" s="202">
        <v>0</v>
      </c>
      <c r="AA64" s="202">
        <v>0</v>
      </c>
      <c r="AB64" s="202">
        <v>0</v>
      </c>
      <c r="AC64" s="202">
        <v>0</v>
      </c>
      <c r="AD64" s="202">
        <v>0</v>
      </c>
      <c r="AE64" s="202">
        <v>0</v>
      </c>
      <c r="AF64" s="202">
        <v>0</v>
      </c>
      <c r="AG64" s="202">
        <v>0</v>
      </c>
    </row>
  </sheetData>
  <sheetProtection/>
  <mergeCells count="41">
    <mergeCell ref="B64:D64"/>
    <mergeCell ref="B52:D52"/>
    <mergeCell ref="B53:D53"/>
    <mergeCell ref="B58:D58"/>
    <mergeCell ref="B59:D59"/>
    <mergeCell ref="B61:D61"/>
    <mergeCell ref="B60:D60"/>
    <mergeCell ref="C55:S55"/>
    <mergeCell ref="B62:D62"/>
    <mergeCell ref="B63:D63"/>
    <mergeCell ref="A1:Z1"/>
    <mergeCell ref="A3:D3"/>
    <mergeCell ref="B5:D5"/>
    <mergeCell ref="Z3:AF3"/>
    <mergeCell ref="B16:D16"/>
    <mergeCell ref="C26:D26"/>
    <mergeCell ref="C18:D18"/>
    <mergeCell ref="E3:K3"/>
    <mergeCell ref="B29:D29"/>
    <mergeCell ref="C32:D32"/>
    <mergeCell ref="B30:D30"/>
    <mergeCell ref="B24:D24"/>
    <mergeCell ref="C17:D17"/>
    <mergeCell ref="C19:D19"/>
    <mergeCell ref="B45:D45"/>
    <mergeCell ref="B51:D51"/>
    <mergeCell ref="A35:D35"/>
    <mergeCell ref="C33:D33"/>
    <mergeCell ref="C25:D25"/>
    <mergeCell ref="B34:D34"/>
    <mergeCell ref="B41:D41"/>
    <mergeCell ref="C44:D44"/>
    <mergeCell ref="B46:D46"/>
    <mergeCell ref="C43:S43"/>
    <mergeCell ref="C31:D31"/>
    <mergeCell ref="C49:S49"/>
    <mergeCell ref="A36:D36"/>
    <mergeCell ref="C57:D57"/>
    <mergeCell ref="C50:D50"/>
    <mergeCell ref="C39:S39"/>
    <mergeCell ref="B47:D47"/>
  </mergeCells>
  <printOptions horizontalCentered="1"/>
  <pageMargins left="0.2755905511811024" right="0.4330708661417323" top="0.984251968503937" bottom="0.7874015748031497" header="0.5118110236220472" footer="0.5118110236220472"/>
  <pageSetup fitToHeight="1" fitToWidth="1" horizontalDpi="600" verticalDpi="600" orientation="landscape" paperSize="9" scale="26" r:id="rId1"/>
  <headerFooter differentOddEven="1" alignWithMargins="0">
    <oddHeader xml:space="preserve">&amp;C&amp;"Algerian,Normál"&amp;16BELED VÁROS ÖNKORMÁNYZATA
2019. ÉVI KÖLTSÉGVETÉSÉNEK ÖSSZEVONT MÉRLEGE&amp;R&amp;"MS Sans Serif,Félkövér dőlt"1. számú melléklet </oddHeader>
    <oddFooter>&amp;C2. oldal</oddFooter>
    <evenHeader>&amp;R1. sz?m? mell?klet</evenHeader>
    <evenFooter>&amp;C3. oldal</evenFooter>
    <firstFooter>&amp;C2[Oldal]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7"/>
  </sheetPr>
  <dimension ref="A1:F38"/>
  <sheetViews>
    <sheetView view="pageBreakPreview" zoomScale="60" workbookViewId="0" topLeftCell="A1">
      <selection activeCell="D38" sqref="D38"/>
    </sheetView>
  </sheetViews>
  <sheetFormatPr defaultColWidth="10.7109375" defaultRowHeight="12.75"/>
  <cols>
    <col min="1" max="1" width="67.7109375" style="1003" customWidth="1"/>
    <col min="2" max="2" width="6.140625" style="1003" customWidth="1"/>
    <col min="3" max="3" width="11.7109375" style="1003" customWidth="1"/>
    <col min="4" max="4" width="17.28125" style="1003" customWidth="1"/>
    <col min="5" max="5" width="13.28125" style="1003" customWidth="1"/>
    <col min="6" max="16384" width="10.7109375" style="1003" customWidth="1"/>
  </cols>
  <sheetData>
    <row r="1" spans="1:6" ht="48" customHeight="1">
      <c r="A1" s="1736" t="s">
        <v>741</v>
      </c>
      <c r="B1" s="1736"/>
      <c r="C1" s="1736"/>
      <c r="D1" s="1736"/>
      <c r="E1" s="1736"/>
      <c r="F1" s="1002"/>
    </row>
    <row r="2" spans="1:6" ht="16.5" thickBot="1">
      <c r="A2" s="1004" t="s">
        <v>742</v>
      </c>
      <c r="B2" s="1005"/>
      <c r="C2" s="1005"/>
      <c r="D2" s="1745" t="s">
        <v>706</v>
      </c>
      <c r="E2" s="1745"/>
      <c r="F2" s="1002"/>
    </row>
    <row r="3" spans="1:6" ht="43.5" customHeight="1" thickBot="1">
      <c r="A3" s="1006" t="s">
        <v>3</v>
      </c>
      <c r="B3" s="1007" t="s">
        <v>5</v>
      </c>
      <c r="C3" s="1008" t="s">
        <v>707</v>
      </c>
      <c r="D3" s="1009" t="s">
        <v>708</v>
      </c>
      <c r="E3" s="1010" t="s">
        <v>709</v>
      </c>
      <c r="F3" s="1002"/>
    </row>
    <row r="4" spans="1:6" ht="16.5" thickBot="1">
      <c r="A4" s="1011" t="s">
        <v>559</v>
      </c>
      <c r="B4" s="1012" t="s">
        <v>14</v>
      </c>
      <c r="C4" s="1012" t="s">
        <v>560</v>
      </c>
      <c r="D4" s="1013" t="s">
        <v>561</v>
      </c>
      <c r="E4" s="1014"/>
      <c r="F4" s="1002"/>
    </row>
    <row r="5" spans="1:6" ht="15.75" customHeight="1">
      <c r="A5" s="1015" t="s">
        <v>710</v>
      </c>
      <c r="B5" s="1016" t="s">
        <v>26</v>
      </c>
      <c r="C5" s="1017">
        <v>79</v>
      </c>
      <c r="D5" s="1018">
        <v>15937153</v>
      </c>
      <c r="E5" s="1019"/>
      <c r="F5" s="1002"/>
    </row>
    <row r="6" spans="1:6" ht="15.75" customHeight="1">
      <c r="A6" s="1015" t="s">
        <v>711</v>
      </c>
      <c r="B6" s="1020" t="s">
        <v>27</v>
      </c>
      <c r="C6" s="1021"/>
      <c r="D6" s="1022"/>
      <c r="E6" s="1023"/>
      <c r="F6" s="1002"/>
    </row>
    <row r="7" spans="1:6" ht="15.75" customHeight="1">
      <c r="A7" s="1015" t="s">
        <v>712</v>
      </c>
      <c r="B7" s="1024" t="s">
        <v>9</v>
      </c>
      <c r="C7" s="1021">
        <v>18</v>
      </c>
      <c r="D7" s="1018">
        <v>1207350</v>
      </c>
      <c r="E7" s="1023"/>
      <c r="F7" s="1002"/>
    </row>
    <row r="8" spans="1:6" ht="15.75" customHeight="1" thickBot="1">
      <c r="A8" s="1025" t="s">
        <v>713</v>
      </c>
      <c r="B8" s="1026" t="s">
        <v>10</v>
      </c>
      <c r="C8" s="1027"/>
      <c r="D8" s="1028"/>
      <c r="E8" s="1029"/>
      <c r="F8" s="1002"/>
    </row>
    <row r="9" spans="1:6" ht="15.75" customHeight="1" thickBot="1">
      <c r="A9" s="1030" t="s">
        <v>714</v>
      </c>
      <c r="B9" s="1031" t="s">
        <v>11</v>
      </c>
      <c r="C9" s="1032"/>
      <c r="D9" s="1033"/>
      <c r="E9" s="1034">
        <f>SUM(E5:E8)</f>
        <v>0</v>
      </c>
      <c r="F9" s="1002"/>
    </row>
    <row r="10" spans="1:6" ht="15.75" customHeight="1">
      <c r="A10" s="1035" t="s">
        <v>715</v>
      </c>
      <c r="B10" s="1016" t="s">
        <v>12</v>
      </c>
      <c r="C10" s="1017"/>
      <c r="D10" s="1036"/>
      <c r="E10" s="1019"/>
      <c r="F10" s="1002"/>
    </row>
    <row r="11" spans="1:6" ht="15.75" customHeight="1">
      <c r="A11" s="1015" t="s">
        <v>716</v>
      </c>
      <c r="B11" s="1037" t="s">
        <v>13</v>
      </c>
      <c r="C11" s="1021"/>
      <c r="D11" s="1022"/>
      <c r="E11" s="1038"/>
      <c r="F11" s="1002"/>
    </row>
    <row r="12" spans="1:6" ht="15.75" customHeight="1">
      <c r="A12" s="1015" t="s">
        <v>717</v>
      </c>
      <c r="B12" s="1037" t="s">
        <v>56</v>
      </c>
      <c r="C12" s="1021"/>
      <c r="D12" s="1022"/>
      <c r="E12" s="1038"/>
      <c r="F12" s="1002"/>
    </row>
    <row r="13" spans="1:6" ht="15.75" customHeight="1" thickBot="1">
      <c r="A13" s="1025" t="s">
        <v>718</v>
      </c>
      <c r="B13" s="1026" t="s">
        <v>57</v>
      </c>
      <c r="C13" s="1027"/>
      <c r="D13" s="1028"/>
      <c r="E13" s="1039"/>
      <c r="F13" s="1002"/>
    </row>
    <row r="14" spans="1:6" ht="15.75" customHeight="1" thickBot="1">
      <c r="A14" s="1030" t="s">
        <v>719</v>
      </c>
      <c r="B14" s="1040" t="s">
        <v>396</v>
      </c>
      <c r="C14" s="1041"/>
      <c r="D14" s="1042">
        <f>+D15+D16+D17</f>
        <v>0</v>
      </c>
      <c r="E14" s="1014"/>
      <c r="F14" s="1002"/>
    </row>
    <row r="15" spans="1:6" ht="15.75" customHeight="1">
      <c r="A15" s="1035" t="s">
        <v>720</v>
      </c>
      <c r="B15" s="1016" t="s">
        <v>398</v>
      </c>
      <c r="C15" s="1017"/>
      <c r="D15" s="1036"/>
      <c r="E15" s="1043"/>
      <c r="F15" s="1002"/>
    </row>
    <row r="16" spans="1:6" ht="15.75" customHeight="1">
      <c r="A16" s="1015" t="s">
        <v>721</v>
      </c>
      <c r="B16" s="1037" t="s">
        <v>399</v>
      </c>
      <c r="C16" s="1021"/>
      <c r="D16" s="1022"/>
      <c r="E16" s="1038"/>
      <c r="F16" s="1002"/>
    </row>
    <row r="17" spans="1:6" ht="15.75" customHeight="1" thickBot="1">
      <c r="A17" s="1025" t="s">
        <v>722</v>
      </c>
      <c r="B17" s="1026" t="s">
        <v>400</v>
      </c>
      <c r="C17" s="1027"/>
      <c r="D17" s="1028"/>
      <c r="E17" s="1039"/>
      <c r="F17" s="1002"/>
    </row>
    <row r="18" spans="1:6" ht="15.75" customHeight="1" thickBot="1">
      <c r="A18" s="1030" t="s">
        <v>723</v>
      </c>
      <c r="B18" s="1040" t="s">
        <v>401</v>
      </c>
      <c r="C18" s="1041"/>
      <c r="D18" s="1042">
        <f>+D19+D20+D21</f>
        <v>0</v>
      </c>
      <c r="E18" s="1014"/>
      <c r="F18" s="1002"/>
    </row>
    <row r="19" spans="1:6" ht="15.75" customHeight="1">
      <c r="A19" s="1035" t="s">
        <v>724</v>
      </c>
      <c r="B19" s="1016" t="s">
        <v>402</v>
      </c>
      <c r="C19" s="1017"/>
      <c r="D19" s="1036"/>
      <c r="E19" s="1043"/>
      <c r="F19" s="1002"/>
    </row>
    <row r="20" spans="1:6" ht="15.75" customHeight="1">
      <c r="A20" s="1015" t="s">
        <v>725</v>
      </c>
      <c r="B20" s="1037" t="s">
        <v>574</v>
      </c>
      <c r="C20" s="1021"/>
      <c r="D20" s="1022"/>
      <c r="E20" s="1038"/>
      <c r="F20" s="1002"/>
    </row>
    <row r="21" spans="1:6" ht="15.75" customHeight="1">
      <c r="A21" s="1015" t="s">
        <v>726</v>
      </c>
      <c r="B21" s="1037" t="s">
        <v>575</v>
      </c>
      <c r="C21" s="1021"/>
      <c r="D21" s="1022"/>
      <c r="E21" s="1038"/>
      <c r="F21" s="1002"/>
    </row>
    <row r="22" spans="1:6" ht="15.75" customHeight="1">
      <c r="A22" s="1015" t="s">
        <v>727</v>
      </c>
      <c r="B22" s="1037" t="s">
        <v>577</v>
      </c>
      <c r="C22" s="1021"/>
      <c r="D22" s="1022"/>
      <c r="E22" s="1038"/>
      <c r="F22" s="1002"/>
    </row>
    <row r="23" spans="1:6" ht="15.75" customHeight="1">
      <c r="A23" s="1015"/>
      <c r="B23" s="1037" t="s">
        <v>700</v>
      </c>
      <c r="C23" s="1021"/>
      <c r="D23" s="1022"/>
      <c r="E23" s="1038"/>
      <c r="F23" s="1002"/>
    </row>
    <row r="24" spans="1:6" ht="15.75" customHeight="1">
      <c r="A24" s="1015"/>
      <c r="B24" s="1037" t="s">
        <v>701</v>
      </c>
      <c r="C24" s="1021"/>
      <c r="D24" s="1022"/>
      <c r="E24" s="1038"/>
      <c r="F24" s="1002"/>
    </row>
    <row r="25" spans="1:6" ht="15.75" customHeight="1">
      <c r="A25" s="1015"/>
      <c r="B25" s="1037" t="s">
        <v>702</v>
      </c>
      <c r="C25" s="1021"/>
      <c r="D25" s="1022"/>
      <c r="E25" s="1038"/>
      <c r="F25" s="1002"/>
    </row>
    <row r="26" spans="1:6" ht="15.75" customHeight="1">
      <c r="A26" s="1015"/>
      <c r="B26" s="1037" t="s">
        <v>728</v>
      </c>
      <c r="C26" s="1021"/>
      <c r="D26" s="1022"/>
      <c r="E26" s="1038"/>
      <c r="F26" s="1002"/>
    </row>
    <row r="27" spans="1:6" ht="15.75" customHeight="1">
      <c r="A27" s="1015"/>
      <c r="B27" s="1037" t="s">
        <v>729</v>
      </c>
      <c r="C27" s="1021"/>
      <c r="D27" s="1022"/>
      <c r="E27" s="1038"/>
      <c r="F27" s="1002"/>
    </row>
    <row r="28" spans="1:6" ht="15.75" customHeight="1">
      <c r="A28" s="1015"/>
      <c r="B28" s="1037" t="s">
        <v>730</v>
      </c>
      <c r="C28" s="1021"/>
      <c r="D28" s="1022"/>
      <c r="E28" s="1038"/>
      <c r="F28" s="1002"/>
    </row>
    <row r="29" spans="1:6" ht="15.75" customHeight="1">
      <c r="A29" s="1015"/>
      <c r="B29" s="1037" t="s">
        <v>731</v>
      </c>
      <c r="C29" s="1021"/>
      <c r="D29" s="1022"/>
      <c r="E29" s="1038"/>
      <c r="F29" s="1002"/>
    </row>
    <row r="30" spans="1:6" ht="15.75" customHeight="1">
      <c r="A30" s="1015"/>
      <c r="B30" s="1037" t="s">
        <v>732</v>
      </c>
      <c r="C30" s="1021"/>
      <c r="D30" s="1022"/>
      <c r="E30" s="1038"/>
      <c r="F30" s="1002"/>
    </row>
    <row r="31" spans="1:6" ht="15.75" customHeight="1">
      <c r="A31" s="1015"/>
      <c r="B31" s="1037" t="s">
        <v>733</v>
      </c>
      <c r="C31" s="1021"/>
      <c r="D31" s="1022"/>
      <c r="E31" s="1038"/>
      <c r="F31" s="1002"/>
    </row>
    <row r="32" spans="1:6" ht="15.75" customHeight="1">
      <c r="A32" s="1015"/>
      <c r="B32" s="1037" t="s">
        <v>734</v>
      </c>
      <c r="C32" s="1021"/>
      <c r="D32" s="1022"/>
      <c r="E32" s="1038"/>
      <c r="F32" s="1002"/>
    </row>
    <row r="33" spans="1:6" ht="15.75" customHeight="1">
      <c r="A33" s="1015"/>
      <c r="B33" s="1037" t="s">
        <v>735</v>
      </c>
      <c r="C33" s="1021"/>
      <c r="D33" s="1022"/>
      <c r="E33" s="1038"/>
      <c r="F33" s="1002"/>
    </row>
    <row r="34" spans="1:6" ht="15.75" customHeight="1">
      <c r="A34" s="1015"/>
      <c r="B34" s="1037" t="s">
        <v>736</v>
      </c>
      <c r="C34" s="1021"/>
      <c r="D34" s="1022"/>
      <c r="E34" s="1038"/>
      <c r="F34" s="1002"/>
    </row>
    <row r="35" spans="1:6" ht="15.75" customHeight="1">
      <c r="A35" s="1015"/>
      <c r="B35" s="1037" t="s">
        <v>737</v>
      </c>
      <c r="C35" s="1021"/>
      <c r="D35" s="1022"/>
      <c r="E35" s="1038"/>
      <c r="F35" s="1002"/>
    </row>
    <row r="36" spans="1:6" ht="15.75" customHeight="1">
      <c r="A36" s="1015"/>
      <c r="B36" s="1037" t="s">
        <v>738</v>
      </c>
      <c r="C36" s="1021"/>
      <c r="D36" s="1022"/>
      <c r="E36" s="1038"/>
      <c r="F36" s="1002"/>
    </row>
    <row r="37" spans="1:6" ht="15.75" customHeight="1" thickBot="1">
      <c r="A37" s="1025"/>
      <c r="B37" s="1026" t="s">
        <v>739</v>
      </c>
      <c r="C37" s="1027"/>
      <c r="D37" s="1028"/>
      <c r="E37" s="1039"/>
      <c r="F37" s="1002"/>
    </row>
    <row r="38" spans="1:6" ht="15.75" customHeight="1" thickBot="1">
      <c r="A38" s="1746" t="s">
        <v>740</v>
      </c>
      <c r="B38" s="1746"/>
      <c r="C38" s="1044"/>
      <c r="D38" s="1045">
        <f>SUM(D5:D8)</f>
        <v>17144503</v>
      </c>
      <c r="E38" s="1046">
        <f>E9+E14+E18+E19+E20+E21+E22</f>
        <v>0</v>
      </c>
      <c r="F38" s="1047"/>
    </row>
  </sheetData>
  <sheetProtection selectLockedCells="1" selectUnlockedCells="1"/>
  <mergeCells count="3">
    <mergeCell ref="A1:E1"/>
    <mergeCell ref="D2:E2"/>
    <mergeCell ref="A38:B38"/>
  </mergeCells>
  <printOptions/>
  <pageMargins left="0.7875" right="0.7875" top="1.0527777777777778" bottom="1.0527777777777778" header="0.7875" footer="0.7875"/>
  <pageSetup horizontalDpi="300" verticalDpi="300" orientation="portrait" paperSize="9" scale="75" r:id="rId1"/>
  <headerFooter alignWithMargins="0">
    <oddHeader>&amp;R13.e.számú melléklet</oddHeader>
    <oddFooter>&amp;C&amp;"Times New Roman,Normál"&amp;12Oldal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</sheetPr>
  <dimension ref="A1:F38"/>
  <sheetViews>
    <sheetView view="pageBreakPreview" zoomScale="60" workbookViewId="0" topLeftCell="A1">
      <selection activeCell="D38" sqref="D38"/>
    </sheetView>
  </sheetViews>
  <sheetFormatPr defaultColWidth="10.7109375" defaultRowHeight="12.75"/>
  <cols>
    <col min="1" max="1" width="67.7109375" style="1003" customWidth="1"/>
    <col min="2" max="2" width="11.421875" style="1003" customWidth="1"/>
    <col min="3" max="3" width="12.7109375" style="1003" customWidth="1"/>
    <col min="4" max="4" width="15.28125" style="1003" customWidth="1"/>
    <col min="5" max="5" width="18.57421875" style="1003" customWidth="1"/>
    <col min="6" max="16384" width="10.7109375" style="1003" customWidth="1"/>
  </cols>
  <sheetData>
    <row r="1" spans="1:6" ht="48" customHeight="1">
      <c r="A1" s="1736" t="s">
        <v>743</v>
      </c>
      <c r="B1" s="1736"/>
      <c r="C1" s="1736"/>
      <c r="D1" s="1736"/>
      <c r="E1" s="1736"/>
      <c r="F1" s="1002"/>
    </row>
    <row r="2" spans="1:6" ht="16.5" thickBot="1">
      <c r="A2" s="1004" t="s">
        <v>213</v>
      </c>
      <c r="B2" s="1005"/>
      <c r="C2" s="1005"/>
      <c r="D2" s="1745" t="s">
        <v>706</v>
      </c>
      <c r="E2" s="1745"/>
      <c r="F2" s="1002"/>
    </row>
    <row r="3" spans="1:6" ht="54" customHeight="1" thickBot="1">
      <c r="A3" s="1006" t="s">
        <v>3</v>
      </c>
      <c r="B3" s="1007" t="s">
        <v>5</v>
      </c>
      <c r="C3" s="1008" t="s">
        <v>707</v>
      </c>
      <c r="D3" s="1009" t="s">
        <v>708</v>
      </c>
      <c r="E3" s="1010" t="s">
        <v>709</v>
      </c>
      <c r="F3" s="1002"/>
    </row>
    <row r="4" spans="1:6" ht="16.5" thickBot="1">
      <c r="A4" s="1011" t="s">
        <v>559</v>
      </c>
      <c r="B4" s="1012" t="s">
        <v>14</v>
      </c>
      <c r="C4" s="1012" t="s">
        <v>560</v>
      </c>
      <c r="D4" s="1013" t="s">
        <v>561</v>
      </c>
      <c r="E4" s="1014"/>
      <c r="F4" s="1002"/>
    </row>
    <row r="5" spans="1:6" ht="15.75" customHeight="1">
      <c r="A5" s="1015" t="s">
        <v>710</v>
      </c>
      <c r="B5" s="1016" t="s">
        <v>26</v>
      </c>
      <c r="C5" s="1017">
        <v>246</v>
      </c>
      <c r="D5" s="1048">
        <v>35371944</v>
      </c>
      <c r="E5" s="1019"/>
      <c r="F5" s="1002"/>
    </row>
    <row r="6" spans="1:6" ht="15.75" customHeight="1">
      <c r="A6" s="1015" t="s">
        <v>711</v>
      </c>
      <c r="B6" s="1037" t="s">
        <v>27</v>
      </c>
      <c r="C6" s="1021"/>
      <c r="D6" s="1022"/>
      <c r="E6" s="1023"/>
      <c r="F6" s="1002"/>
    </row>
    <row r="7" spans="1:6" ht="15.75" customHeight="1">
      <c r="A7" s="1015" t="s">
        <v>712</v>
      </c>
      <c r="B7" s="1016" t="s">
        <v>9</v>
      </c>
      <c r="C7" s="1021">
        <v>114</v>
      </c>
      <c r="D7" s="1018">
        <v>7943532</v>
      </c>
      <c r="E7" s="1023"/>
      <c r="F7" s="1002"/>
    </row>
    <row r="8" spans="1:6" ht="15.75" customHeight="1" thickBot="1">
      <c r="A8" s="1025" t="s">
        <v>713</v>
      </c>
      <c r="B8" s="1026" t="s">
        <v>10</v>
      </c>
      <c r="C8" s="1027"/>
      <c r="D8" s="1028"/>
      <c r="E8" s="1029"/>
      <c r="F8" s="1002"/>
    </row>
    <row r="9" spans="1:6" ht="15.75" customHeight="1" thickBot="1">
      <c r="A9" s="1030" t="s">
        <v>714</v>
      </c>
      <c r="B9" s="1031" t="s">
        <v>11</v>
      </c>
      <c r="C9" s="1032"/>
      <c r="D9" s="1033"/>
      <c r="E9" s="1034">
        <f>SUM(E5:E8)</f>
        <v>0</v>
      </c>
      <c r="F9" s="1002"/>
    </row>
    <row r="10" spans="1:6" ht="15.75" customHeight="1">
      <c r="A10" s="1035" t="s">
        <v>715</v>
      </c>
      <c r="B10" s="1016" t="s">
        <v>12</v>
      </c>
      <c r="C10" s="1017"/>
      <c r="D10" s="1036"/>
      <c r="E10" s="1019"/>
      <c r="F10" s="1002"/>
    </row>
    <row r="11" spans="1:6" ht="15.75" customHeight="1">
      <c r="A11" s="1015" t="s">
        <v>716</v>
      </c>
      <c r="B11" s="1037" t="s">
        <v>13</v>
      </c>
      <c r="C11" s="1021"/>
      <c r="D11" s="1022"/>
      <c r="E11" s="1038"/>
      <c r="F11" s="1002"/>
    </row>
    <row r="12" spans="1:6" ht="15.75" customHeight="1">
      <c r="A12" s="1015" t="s">
        <v>717</v>
      </c>
      <c r="B12" s="1037" t="s">
        <v>56</v>
      </c>
      <c r="C12" s="1021"/>
      <c r="D12" s="1022"/>
      <c r="E12" s="1038"/>
      <c r="F12" s="1002"/>
    </row>
    <row r="13" spans="1:6" ht="15.75" customHeight="1" thickBot="1">
      <c r="A13" s="1025" t="s">
        <v>718</v>
      </c>
      <c r="B13" s="1026" t="s">
        <v>57</v>
      </c>
      <c r="C13" s="1027"/>
      <c r="D13" s="1028"/>
      <c r="E13" s="1039"/>
      <c r="F13" s="1002"/>
    </row>
    <row r="14" spans="1:6" ht="15.75" customHeight="1" thickBot="1">
      <c r="A14" s="1030" t="s">
        <v>719</v>
      </c>
      <c r="B14" s="1040" t="s">
        <v>396</v>
      </c>
      <c r="C14" s="1041"/>
      <c r="D14" s="1042">
        <f>+D15+D16+D17</f>
        <v>0</v>
      </c>
      <c r="E14" s="1014"/>
      <c r="F14" s="1002"/>
    </row>
    <row r="15" spans="1:6" ht="15.75" customHeight="1">
      <c r="A15" s="1035" t="s">
        <v>720</v>
      </c>
      <c r="B15" s="1016" t="s">
        <v>398</v>
      </c>
      <c r="C15" s="1017"/>
      <c r="D15" s="1036"/>
      <c r="E15" s="1043"/>
      <c r="F15" s="1002"/>
    </row>
    <row r="16" spans="1:6" ht="15.75" customHeight="1">
      <c r="A16" s="1015" t="s">
        <v>721</v>
      </c>
      <c r="B16" s="1037" t="s">
        <v>399</v>
      </c>
      <c r="C16" s="1021"/>
      <c r="D16" s="1022"/>
      <c r="E16" s="1038"/>
      <c r="F16" s="1002"/>
    </row>
    <row r="17" spans="1:6" ht="15.75" customHeight="1" thickBot="1">
      <c r="A17" s="1025" t="s">
        <v>722</v>
      </c>
      <c r="B17" s="1026" t="s">
        <v>400</v>
      </c>
      <c r="C17" s="1027"/>
      <c r="D17" s="1028"/>
      <c r="E17" s="1039"/>
      <c r="F17" s="1002"/>
    </row>
    <row r="18" spans="1:6" ht="15.75" customHeight="1" thickBot="1">
      <c r="A18" s="1030" t="s">
        <v>723</v>
      </c>
      <c r="B18" s="1040" t="s">
        <v>401</v>
      </c>
      <c r="C18" s="1041"/>
      <c r="D18" s="1042">
        <f>+D19+D20+D21</f>
        <v>0</v>
      </c>
      <c r="E18" s="1014"/>
      <c r="F18" s="1002"/>
    </row>
    <row r="19" spans="1:6" ht="15.75" customHeight="1">
      <c r="A19" s="1035" t="s">
        <v>724</v>
      </c>
      <c r="B19" s="1016" t="s">
        <v>402</v>
      </c>
      <c r="C19" s="1017"/>
      <c r="D19" s="1036"/>
      <c r="E19" s="1043"/>
      <c r="F19" s="1002"/>
    </row>
    <row r="20" spans="1:6" ht="15.75" customHeight="1">
      <c r="A20" s="1015" t="s">
        <v>725</v>
      </c>
      <c r="B20" s="1037" t="s">
        <v>574</v>
      </c>
      <c r="C20" s="1021"/>
      <c r="D20" s="1022"/>
      <c r="E20" s="1038"/>
      <c r="F20" s="1002"/>
    </row>
    <row r="21" spans="1:6" ht="15.75" customHeight="1">
      <c r="A21" s="1015" t="s">
        <v>726</v>
      </c>
      <c r="B21" s="1037" t="s">
        <v>575</v>
      </c>
      <c r="C21" s="1021"/>
      <c r="D21" s="1022"/>
      <c r="E21" s="1038"/>
      <c r="F21" s="1002"/>
    </row>
    <row r="22" spans="1:6" ht="15.75" customHeight="1">
      <c r="A22" s="1015" t="s">
        <v>727</v>
      </c>
      <c r="B22" s="1037" t="s">
        <v>577</v>
      </c>
      <c r="C22" s="1021"/>
      <c r="D22" s="1022"/>
      <c r="E22" s="1038"/>
      <c r="F22" s="1002"/>
    </row>
    <row r="23" spans="1:6" ht="15.75" customHeight="1">
      <c r="A23" s="1015"/>
      <c r="B23" s="1037" t="s">
        <v>700</v>
      </c>
      <c r="C23" s="1021"/>
      <c r="D23" s="1022"/>
      <c r="E23" s="1038"/>
      <c r="F23" s="1002"/>
    </row>
    <row r="24" spans="1:6" ht="15.75" customHeight="1">
      <c r="A24" s="1015"/>
      <c r="B24" s="1037" t="s">
        <v>701</v>
      </c>
      <c r="C24" s="1021"/>
      <c r="D24" s="1022"/>
      <c r="E24" s="1038"/>
      <c r="F24" s="1002"/>
    </row>
    <row r="25" spans="1:6" ht="15.75" customHeight="1">
      <c r="A25" s="1015"/>
      <c r="B25" s="1037" t="s">
        <v>702</v>
      </c>
      <c r="C25" s="1021"/>
      <c r="D25" s="1022"/>
      <c r="E25" s="1038"/>
      <c r="F25" s="1002"/>
    </row>
    <row r="26" spans="1:6" ht="15.75" customHeight="1">
      <c r="A26" s="1015"/>
      <c r="B26" s="1037" t="s">
        <v>728</v>
      </c>
      <c r="C26" s="1021"/>
      <c r="D26" s="1022"/>
      <c r="E26" s="1038"/>
      <c r="F26" s="1002"/>
    </row>
    <row r="27" spans="1:6" ht="15.75" customHeight="1">
      <c r="A27" s="1015"/>
      <c r="B27" s="1037" t="s">
        <v>729</v>
      </c>
      <c r="C27" s="1021"/>
      <c r="D27" s="1022"/>
      <c r="E27" s="1038"/>
      <c r="F27" s="1002"/>
    </row>
    <row r="28" spans="1:6" ht="15.75" customHeight="1">
      <c r="A28" s="1015"/>
      <c r="B28" s="1037" t="s">
        <v>730</v>
      </c>
      <c r="C28" s="1021"/>
      <c r="D28" s="1022"/>
      <c r="E28" s="1038"/>
      <c r="F28" s="1002"/>
    </row>
    <row r="29" spans="1:6" ht="15.75" customHeight="1">
      <c r="A29" s="1015"/>
      <c r="B29" s="1037" t="s">
        <v>731</v>
      </c>
      <c r="C29" s="1021"/>
      <c r="D29" s="1022"/>
      <c r="E29" s="1038"/>
      <c r="F29" s="1002"/>
    </row>
    <row r="30" spans="1:6" ht="15.75" customHeight="1">
      <c r="A30" s="1015"/>
      <c r="B30" s="1037" t="s">
        <v>732</v>
      </c>
      <c r="C30" s="1021"/>
      <c r="D30" s="1022"/>
      <c r="E30" s="1038"/>
      <c r="F30" s="1002"/>
    </row>
    <row r="31" spans="1:6" ht="15.75" customHeight="1">
      <c r="A31" s="1015"/>
      <c r="B31" s="1037" t="s">
        <v>733</v>
      </c>
      <c r="C31" s="1021"/>
      <c r="D31" s="1022"/>
      <c r="E31" s="1038"/>
      <c r="F31" s="1002"/>
    </row>
    <row r="32" spans="1:6" ht="15.75" customHeight="1">
      <c r="A32" s="1015"/>
      <c r="B32" s="1037" t="s">
        <v>734</v>
      </c>
      <c r="C32" s="1021"/>
      <c r="D32" s="1022"/>
      <c r="E32" s="1038"/>
      <c r="F32" s="1002"/>
    </row>
    <row r="33" spans="1:6" ht="15.75" customHeight="1">
      <c r="A33" s="1015"/>
      <c r="B33" s="1037" t="s">
        <v>735</v>
      </c>
      <c r="C33" s="1021"/>
      <c r="D33" s="1022"/>
      <c r="E33" s="1038"/>
      <c r="F33" s="1002"/>
    </row>
    <row r="34" spans="1:6" ht="15.75" customHeight="1">
      <c r="A34" s="1015"/>
      <c r="B34" s="1037" t="s">
        <v>736</v>
      </c>
      <c r="C34" s="1021"/>
      <c r="D34" s="1022"/>
      <c r="E34" s="1038"/>
      <c r="F34" s="1002"/>
    </row>
    <row r="35" spans="1:6" ht="15.75" customHeight="1">
      <c r="A35" s="1015"/>
      <c r="B35" s="1037" t="s">
        <v>737</v>
      </c>
      <c r="C35" s="1021"/>
      <c r="D35" s="1022"/>
      <c r="E35" s="1038"/>
      <c r="F35" s="1002"/>
    </row>
    <row r="36" spans="1:6" ht="15.75" customHeight="1">
      <c r="A36" s="1015"/>
      <c r="B36" s="1037" t="s">
        <v>738</v>
      </c>
      <c r="C36" s="1021"/>
      <c r="D36" s="1022"/>
      <c r="E36" s="1038"/>
      <c r="F36" s="1002"/>
    </row>
    <row r="37" spans="1:6" ht="15.75" customHeight="1" thickBot="1">
      <c r="A37" s="1025"/>
      <c r="B37" s="1026" t="s">
        <v>739</v>
      </c>
      <c r="C37" s="1027"/>
      <c r="D37" s="1028"/>
      <c r="E37" s="1039"/>
      <c r="F37" s="1002"/>
    </row>
    <row r="38" spans="1:6" ht="15.75" customHeight="1" thickBot="1">
      <c r="A38" s="1746" t="s">
        <v>740</v>
      </c>
      <c r="B38" s="1746"/>
      <c r="C38" s="1044"/>
      <c r="D38" s="1045">
        <f>SUM(D5:D8)</f>
        <v>43315476</v>
      </c>
      <c r="E38" s="1046">
        <f>E9+E14+E18+E19+E20+E21+E22</f>
        <v>0</v>
      </c>
      <c r="F38" s="1047"/>
    </row>
  </sheetData>
  <sheetProtection selectLockedCells="1" selectUnlockedCells="1"/>
  <mergeCells count="3">
    <mergeCell ref="A1:E1"/>
    <mergeCell ref="D2:E2"/>
    <mergeCell ref="A38:B38"/>
  </mergeCells>
  <printOptions/>
  <pageMargins left="0.7875" right="0.7875" top="1.0527777777777778" bottom="1.0527777777777778" header="0.7875" footer="0.7875"/>
  <pageSetup horizontalDpi="300" verticalDpi="300" orientation="portrait" paperSize="9" scale="69" r:id="rId1"/>
  <headerFooter alignWithMargins="0">
    <oddHeader>&amp;R13.f.számú melléklet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60" workbookViewId="0" topLeftCell="A1">
      <selection activeCell="C7" sqref="C7"/>
    </sheetView>
  </sheetViews>
  <sheetFormatPr defaultColWidth="9.140625" defaultRowHeight="12.75"/>
  <cols>
    <col min="1" max="1" width="9.00390625" style="578" customWidth="1"/>
    <col min="2" max="2" width="58.57421875" style="579" customWidth="1"/>
    <col min="3" max="3" width="17.00390625" style="579" customWidth="1"/>
    <col min="4" max="7" width="14.7109375" style="578" customWidth="1"/>
    <col min="8" max="9" width="9.140625" style="578" customWidth="1"/>
    <col min="10" max="16384" width="9.140625" style="578" customWidth="1"/>
  </cols>
  <sheetData>
    <row r="1" spans="5:6" ht="15">
      <c r="E1" s="1748" t="s">
        <v>1021</v>
      </c>
      <c r="F1" s="1748"/>
    </row>
    <row r="2" spans="1:7" ht="48.75" customHeight="1">
      <c r="A2" s="1749" t="s">
        <v>393</v>
      </c>
      <c r="B2" s="1749"/>
      <c r="C2" s="1749"/>
      <c r="D2" s="1749"/>
      <c r="E2" s="1749"/>
      <c r="F2" s="1749"/>
      <c r="G2" s="580"/>
    </row>
    <row r="3" spans="1:8" ht="15.75" customHeight="1" thickBot="1">
      <c r="A3" s="532"/>
      <c r="B3" s="581"/>
      <c r="C3" s="581"/>
      <c r="D3" s="532"/>
      <c r="E3" s="1750" t="s">
        <v>432</v>
      </c>
      <c r="F3" s="1750"/>
      <c r="H3" s="582"/>
    </row>
    <row r="4" spans="1:7" ht="63" customHeight="1">
      <c r="A4" s="1751" t="s">
        <v>245</v>
      </c>
      <c r="B4" s="1753" t="s">
        <v>394</v>
      </c>
      <c r="C4" s="1755" t="s">
        <v>395</v>
      </c>
      <c r="D4" s="1756"/>
      <c r="E4" s="1756"/>
      <c r="F4" s="1757"/>
      <c r="G4" s="583"/>
    </row>
    <row r="5" spans="1:6" ht="16.5" thickBot="1">
      <c r="A5" s="1752"/>
      <c r="B5" s="1754"/>
      <c r="C5" s="584">
        <v>2019</v>
      </c>
      <c r="D5" s="584">
        <v>2020</v>
      </c>
      <c r="E5" s="584">
        <v>2021</v>
      </c>
      <c r="F5" s="584">
        <v>2022</v>
      </c>
    </row>
    <row r="6" spans="1:6" ht="16.5" thickBot="1">
      <c r="A6" s="536">
        <v>1</v>
      </c>
      <c r="B6" s="585">
        <v>2</v>
      </c>
      <c r="C6" s="585">
        <v>3</v>
      </c>
      <c r="D6" s="537">
        <v>4</v>
      </c>
      <c r="E6" s="537">
        <v>5</v>
      </c>
      <c r="F6" s="538">
        <v>6</v>
      </c>
    </row>
    <row r="7" spans="1:9" ht="16.5" thickBot="1">
      <c r="A7" s="539" t="s">
        <v>26</v>
      </c>
      <c r="B7" s="46" t="s">
        <v>435</v>
      </c>
      <c r="C7" s="569">
        <f>2267801+'7.sz.m.Dologi kiadás (3)'!I18</f>
        <v>2280633</v>
      </c>
      <c r="D7" s="569"/>
      <c r="E7" s="569"/>
      <c r="F7" s="586"/>
      <c r="I7" s="598"/>
    </row>
    <row r="8" spans="1:6" ht="27" customHeight="1" hidden="1">
      <c r="A8" s="544" t="s">
        <v>27</v>
      </c>
      <c r="B8" s="47"/>
      <c r="C8" s="47"/>
      <c r="D8" s="38"/>
      <c r="E8" s="587"/>
      <c r="F8" s="588"/>
    </row>
    <row r="9" spans="1:6" ht="27" customHeight="1" hidden="1">
      <c r="A9" s="544" t="s">
        <v>9</v>
      </c>
      <c r="B9" s="45"/>
      <c r="C9" s="45"/>
      <c r="D9" s="38"/>
      <c r="E9" s="587"/>
      <c r="F9" s="588"/>
    </row>
    <row r="10" spans="1:6" ht="27" customHeight="1" hidden="1">
      <c r="A10" s="544" t="s">
        <v>10</v>
      </c>
      <c r="B10" s="44"/>
      <c r="C10" s="44"/>
      <c r="D10" s="38"/>
      <c r="E10" s="587"/>
      <c r="F10" s="588"/>
    </row>
    <row r="11" spans="1:6" ht="27" customHeight="1" hidden="1">
      <c r="A11" s="544" t="s">
        <v>11</v>
      </c>
      <c r="B11" s="45"/>
      <c r="C11" s="45"/>
      <c r="D11" s="38"/>
      <c r="E11" s="587"/>
      <c r="F11" s="588"/>
    </row>
    <row r="12" spans="1:6" ht="27" customHeight="1" hidden="1">
      <c r="A12" s="544" t="s">
        <v>12</v>
      </c>
      <c r="B12" s="44"/>
      <c r="C12" s="44"/>
      <c r="D12" s="38"/>
      <c r="E12" s="587"/>
      <c r="F12" s="588"/>
    </row>
    <row r="13" spans="1:6" ht="27" customHeight="1" hidden="1">
      <c r="A13" s="544" t="s">
        <v>13</v>
      </c>
      <c r="B13" s="44"/>
      <c r="C13" s="44"/>
      <c r="D13" s="38"/>
      <c r="E13" s="587"/>
      <c r="F13" s="588"/>
    </row>
    <row r="14" spans="1:6" ht="27" customHeight="1" hidden="1">
      <c r="A14" s="544" t="s">
        <v>56</v>
      </c>
      <c r="B14" s="44"/>
      <c r="C14" s="44"/>
      <c r="D14" s="38"/>
      <c r="E14" s="587"/>
      <c r="F14" s="588"/>
    </row>
    <row r="15" spans="1:6" ht="27" customHeight="1" hidden="1">
      <c r="A15" s="544" t="s">
        <v>57</v>
      </c>
      <c r="B15" s="44"/>
      <c r="C15" s="44"/>
      <c r="D15" s="38"/>
      <c r="E15" s="587"/>
      <c r="F15" s="588"/>
    </row>
    <row r="16" spans="1:6" ht="27" customHeight="1" hidden="1">
      <c r="A16" s="544" t="s">
        <v>396</v>
      </c>
      <c r="B16" s="44"/>
      <c r="C16" s="44"/>
      <c r="D16" s="38"/>
      <c r="E16" s="587"/>
      <c r="F16" s="588"/>
    </row>
    <row r="17" spans="1:6" ht="27" customHeight="1" hidden="1">
      <c r="A17" s="589"/>
      <c r="B17" s="590"/>
      <c r="C17" s="590"/>
      <c r="D17" s="591"/>
      <c r="E17" s="591"/>
      <c r="F17" s="592"/>
    </row>
    <row r="18" spans="1:6" ht="27" customHeight="1" hidden="1">
      <c r="A18" s="589"/>
      <c r="B18" s="590"/>
      <c r="C18" s="590"/>
      <c r="D18" s="591"/>
      <c r="E18" s="591"/>
      <c r="F18" s="592"/>
    </row>
    <row r="19" spans="1:6" ht="27" customHeight="1" hidden="1">
      <c r="A19" s="589"/>
      <c r="B19" s="590"/>
      <c r="C19" s="590"/>
      <c r="D19" s="591"/>
      <c r="E19" s="591"/>
      <c r="F19" s="592"/>
    </row>
    <row r="20" spans="1:6" ht="27" customHeight="1" hidden="1">
      <c r="A20" s="589"/>
      <c r="B20" s="590"/>
      <c r="C20" s="590"/>
      <c r="D20" s="591"/>
      <c r="E20" s="591"/>
      <c r="F20" s="592"/>
    </row>
    <row r="21" spans="1:6" ht="27" customHeight="1" hidden="1">
      <c r="A21" s="589"/>
      <c r="B21" s="590"/>
      <c r="C21" s="590"/>
      <c r="D21" s="591"/>
      <c r="E21" s="591"/>
      <c r="F21" s="592"/>
    </row>
    <row r="22" spans="1:6" ht="27" customHeight="1" hidden="1">
      <c r="A22" s="589"/>
      <c r="B22" s="590"/>
      <c r="C22" s="590"/>
      <c r="D22" s="591"/>
      <c r="E22" s="591"/>
      <c r="F22" s="592"/>
    </row>
    <row r="23" spans="1:6" ht="27" customHeight="1" hidden="1">
      <c r="A23" s="589"/>
      <c r="B23" s="590"/>
      <c r="C23" s="590"/>
      <c r="D23" s="591"/>
      <c r="E23" s="591"/>
      <c r="F23" s="592"/>
    </row>
    <row r="24" spans="1:6" ht="32.25" customHeight="1" hidden="1" thickBot="1">
      <c r="A24" s="589" t="s">
        <v>11</v>
      </c>
      <c r="B24" s="590"/>
      <c r="C24" s="590"/>
      <c r="D24" s="591"/>
      <c r="E24" s="591"/>
      <c r="F24" s="592"/>
    </row>
    <row r="25" spans="1:7" ht="27" customHeight="1" thickBot="1">
      <c r="A25" s="536">
        <v>2</v>
      </c>
      <c r="B25" s="593" t="s">
        <v>397</v>
      </c>
      <c r="C25" s="594">
        <f>SUM(C7:C24)</f>
        <v>2280633</v>
      </c>
      <c r="D25" s="594">
        <f>SUM(D7:D24)</f>
        <v>0</v>
      </c>
      <c r="E25" s="594">
        <f>SUM(E7:E24)</f>
        <v>0</v>
      </c>
      <c r="F25" s="595">
        <f>SUM(F7:F24)</f>
        <v>0</v>
      </c>
      <c r="G25" s="599"/>
    </row>
    <row r="27" spans="1:6" ht="15">
      <c r="A27" s="1747"/>
      <c r="B27" s="1747"/>
      <c r="C27" s="1747"/>
      <c r="D27" s="1747"/>
      <c r="E27" s="1747"/>
      <c r="F27" s="1747"/>
    </row>
    <row r="28" spans="2:3" ht="15.75">
      <c r="B28" s="596"/>
      <c r="C28" s="596"/>
    </row>
  </sheetData>
  <sheetProtection/>
  <mergeCells count="7">
    <mergeCell ref="A27:F27"/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H6" sqref="H6:H10"/>
    </sheetView>
  </sheetViews>
  <sheetFormatPr defaultColWidth="9.140625" defaultRowHeight="12.75"/>
  <cols>
    <col min="1" max="1" width="8.140625" style="531" customWidth="1"/>
    <col min="2" max="2" width="64.00390625" style="531" customWidth="1"/>
    <col min="3" max="3" width="19.8515625" style="531" customWidth="1"/>
    <col min="4" max="5" width="16.7109375" style="531" hidden="1" customWidth="1"/>
    <col min="6" max="6" width="15.00390625" style="531" hidden="1" customWidth="1"/>
    <col min="7" max="9" width="15.00390625" style="531" customWidth="1"/>
    <col min="10" max="12" width="15.00390625" style="531" hidden="1" customWidth="1"/>
    <col min="13" max="13" width="15.00390625" style="531" customWidth="1"/>
    <col min="14" max="16384" width="9.140625" style="531" customWidth="1"/>
  </cols>
  <sheetData>
    <row r="1" spans="3:9" ht="15">
      <c r="C1" s="1762" t="s">
        <v>1022</v>
      </c>
      <c r="D1" s="1762"/>
      <c r="E1" s="1762"/>
      <c r="F1" s="1762"/>
      <c r="G1" s="1762"/>
      <c r="H1" s="1762"/>
      <c r="I1" s="1762"/>
    </row>
    <row r="2" spans="1:9" ht="47.25" customHeight="1">
      <c r="A2" s="1761" t="s">
        <v>384</v>
      </c>
      <c r="B2" s="1761"/>
      <c r="C2" s="1761"/>
      <c r="D2" s="1761"/>
      <c r="E2" s="1761"/>
      <c r="F2" s="1761"/>
      <c r="G2" s="1761"/>
      <c r="H2" s="1761"/>
      <c r="I2" s="1761"/>
    </row>
    <row r="3" spans="1:9" ht="15.75" customHeight="1" thickBot="1">
      <c r="A3" s="532"/>
      <c r="B3" s="532"/>
      <c r="C3" s="1763" t="s">
        <v>432</v>
      </c>
      <c r="D3" s="1763"/>
      <c r="E3" s="1763"/>
      <c r="F3" s="1763"/>
      <c r="G3" s="1763"/>
      <c r="H3" s="1763"/>
      <c r="I3" s="1763"/>
    </row>
    <row r="4" spans="1:12" ht="44.25" customHeight="1" thickBot="1">
      <c r="A4" s="533" t="s">
        <v>245</v>
      </c>
      <c r="B4" s="534" t="s">
        <v>385</v>
      </c>
      <c r="C4" s="535" t="s">
        <v>620</v>
      </c>
      <c r="D4" s="535" t="s">
        <v>225</v>
      </c>
      <c r="E4" s="535" t="s">
        <v>228</v>
      </c>
      <c r="F4" s="535" t="s">
        <v>230</v>
      </c>
      <c r="G4" s="535" t="s">
        <v>242</v>
      </c>
      <c r="H4" s="535" t="s">
        <v>392</v>
      </c>
      <c r="I4" s="535" t="s">
        <v>422</v>
      </c>
      <c r="J4" s="535" t="s">
        <v>425</v>
      </c>
      <c r="K4" s="535" t="s">
        <v>428</v>
      </c>
      <c r="L4" s="535" t="s">
        <v>422</v>
      </c>
    </row>
    <row r="5" spans="1:12" ht="26.25" customHeight="1" thickBot="1">
      <c r="A5" s="536">
        <v>1</v>
      </c>
      <c r="B5" s="537">
        <v>2</v>
      </c>
      <c r="C5" s="538">
        <v>3</v>
      </c>
      <c r="D5" s="538">
        <v>4</v>
      </c>
      <c r="E5" s="538">
        <v>5</v>
      </c>
      <c r="F5" s="538">
        <v>6</v>
      </c>
      <c r="G5" s="538">
        <v>4</v>
      </c>
      <c r="H5" s="538">
        <v>5</v>
      </c>
      <c r="I5" s="538">
        <v>6</v>
      </c>
      <c r="J5" s="538">
        <v>6</v>
      </c>
      <c r="K5" s="538">
        <v>7</v>
      </c>
      <c r="L5" s="538">
        <v>7</v>
      </c>
    </row>
    <row r="6" spans="1:12" ht="31.5" customHeight="1">
      <c r="A6" s="539" t="s">
        <v>26</v>
      </c>
      <c r="B6" s="540" t="s">
        <v>281</v>
      </c>
      <c r="C6" s="541">
        <f>'1.sz.m-önk.össze.bev'!E8</f>
        <v>19500000</v>
      </c>
      <c r="D6" s="541">
        <f>'1.sz.m-önk.össze.bev'!F8</f>
        <v>19500000</v>
      </c>
      <c r="E6" s="541">
        <f>'1.sz.m-önk.össze.bev'!G8</f>
        <v>19500000</v>
      </c>
      <c r="F6" s="541">
        <f>'1.sz.m-önk.össze.bev'!H8</f>
        <v>19500000</v>
      </c>
      <c r="G6" s="541">
        <f>'1.sz.m-önk.össze.bev'!I8</f>
        <v>19003963</v>
      </c>
      <c r="H6" s="541">
        <f>'1.sz.m-önk.össze.bev'!J8</f>
        <v>18435803</v>
      </c>
      <c r="I6" s="1168">
        <f>+H6/G6</f>
        <v>0.9701030779737889</v>
      </c>
      <c r="J6" s="541">
        <f>'1.sz.m-önk.össze.bev'!L8</f>
        <v>19500000</v>
      </c>
      <c r="K6" s="541">
        <f>'1.sz.m-önk.össze.bev'!M8</f>
        <v>19500000</v>
      </c>
      <c r="L6" s="541">
        <f>'1.sz.m-önk.össze.bev'!N8</f>
        <v>19500000</v>
      </c>
    </row>
    <row r="7" spans="1:12" ht="26.25" customHeight="1">
      <c r="A7" s="542" t="s">
        <v>27</v>
      </c>
      <c r="B7" s="540" t="s">
        <v>386</v>
      </c>
      <c r="C7" s="543">
        <f>'1.sz.m-önk.össze.bev'!E13</f>
        <v>160000000</v>
      </c>
      <c r="D7" s="543">
        <f>'1.sz.m-önk.össze.bev'!F13</f>
        <v>160000000</v>
      </c>
      <c r="E7" s="543">
        <f>'1.sz.m-önk.össze.bev'!G13</f>
        <v>160000000</v>
      </c>
      <c r="F7" s="543">
        <f>'1.sz.m-önk.össze.bev'!H13</f>
        <v>160000000</v>
      </c>
      <c r="G7" s="543">
        <f>'1.sz.m-önk.össze.bev'!I13</f>
        <v>194946510</v>
      </c>
      <c r="H7" s="543">
        <f>'1.sz.m-önk.össze.bev'!J13</f>
        <v>192680896</v>
      </c>
      <c r="I7" s="1169">
        <f aca="true" t="shared" si="0" ref="I7:I12">+H7/G7</f>
        <v>0.988378278739127</v>
      </c>
      <c r="J7" s="543">
        <f>'1.sz.m-önk.össze.bev'!L13</f>
        <v>130713226</v>
      </c>
      <c r="K7" s="543">
        <f>'1.sz.m-önk.össze.bev'!M13</f>
        <v>130713226</v>
      </c>
      <c r="L7" s="543">
        <f>'1.sz.m-önk.össze.bev'!N13</f>
        <v>130503226</v>
      </c>
    </row>
    <row r="8" spans="1:12" ht="33.75" customHeight="1">
      <c r="A8" s="544" t="s">
        <v>9</v>
      </c>
      <c r="B8" s="545" t="s">
        <v>387</v>
      </c>
      <c r="C8" s="546">
        <f>'1.sz.m-önk.össze.bev'!E17</f>
        <v>0</v>
      </c>
      <c r="D8" s="546">
        <f>'1.sz.m-önk.össze.bev'!F17</f>
        <v>0</v>
      </c>
      <c r="E8" s="546">
        <f>'1.sz.m-önk.össze.bev'!G17</f>
        <v>0</v>
      </c>
      <c r="F8" s="546">
        <f>'1.sz.m-önk.össze.bev'!H17</f>
        <v>0</v>
      </c>
      <c r="G8" s="546">
        <f>'1.sz.m-önk.össze.bev'!I17</f>
        <v>0</v>
      </c>
      <c r="H8" s="546">
        <f>'1.sz.m-önk.össze.bev'!J17</f>
        <v>0</v>
      </c>
      <c r="I8" s="1170"/>
      <c r="J8" s="546">
        <f>'1.sz.m-önk.össze.bev'!L17</f>
        <v>0</v>
      </c>
      <c r="K8" s="546">
        <f>'1.sz.m-önk.össze.bev'!M17</f>
        <v>0</v>
      </c>
      <c r="L8" s="546">
        <f>'1.sz.m-önk.össze.bev'!N17</f>
        <v>0</v>
      </c>
    </row>
    <row r="9" spans="1:12" ht="33" customHeight="1">
      <c r="A9" s="542" t="s">
        <v>10</v>
      </c>
      <c r="B9" s="547" t="s">
        <v>296</v>
      </c>
      <c r="C9" s="546">
        <f>'1.sz.m-önk.össze.bev'!E20</f>
        <v>1060000</v>
      </c>
      <c r="D9" s="546">
        <f>'1.sz.m-önk.össze.bev'!F20</f>
        <v>1272400</v>
      </c>
      <c r="E9" s="546">
        <f>'1.sz.m-önk.össze.bev'!G20</f>
        <v>1272400</v>
      </c>
      <c r="F9" s="546">
        <f>'1.sz.m-önk.össze.bev'!H20</f>
        <v>1272400</v>
      </c>
      <c r="G9" s="546">
        <f>'1.sz.m-önk.össze.bev'!I20</f>
        <v>3208713</v>
      </c>
      <c r="H9" s="546">
        <f>'1.sz.m-önk.össze.bev'!J20</f>
        <v>1694964</v>
      </c>
      <c r="I9" s="1170">
        <f t="shared" si="0"/>
        <v>0.5282379570874678</v>
      </c>
      <c r="J9" s="546">
        <f>'1.sz.m-önk.össze.bev'!L20</f>
        <v>1060000</v>
      </c>
      <c r="K9" s="546">
        <f>'1.sz.m-önk.össze.bev'!M20</f>
        <v>1272400</v>
      </c>
      <c r="L9" s="546">
        <f>'1.sz.m-önk.össze.bev'!N20</f>
        <v>1272400</v>
      </c>
    </row>
    <row r="10" spans="1:12" ht="26.25" customHeight="1">
      <c r="A10" s="544" t="s">
        <v>11</v>
      </c>
      <c r="B10" s="547" t="s">
        <v>388</v>
      </c>
      <c r="C10" s="548">
        <f>'1.sz.m-önk.össze.bev'!E25</f>
        <v>1083712</v>
      </c>
      <c r="D10" s="548">
        <f>'1.sz.m-önk.össze.bev'!F25</f>
        <v>1083712</v>
      </c>
      <c r="E10" s="548">
        <f>'1.sz.m-önk.össze.bev'!G25</f>
        <v>1083712</v>
      </c>
      <c r="F10" s="548">
        <f>'1.sz.m-önk.össze.bev'!H25</f>
        <v>1864426</v>
      </c>
      <c r="G10" s="548">
        <f>'1.sz.m-önk.össze.bev'!I25</f>
        <v>1043112</v>
      </c>
      <c r="H10" s="548">
        <f>'1.sz.m-önk.össze.bev'!J25</f>
        <v>1043112</v>
      </c>
      <c r="I10" s="1171">
        <f t="shared" si="0"/>
        <v>1</v>
      </c>
      <c r="J10" s="548">
        <f>'1.sz.m-önk.össze.bev'!L25</f>
        <v>1083712</v>
      </c>
      <c r="K10" s="548">
        <f>'1.sz.m-önk.össze.bev'!M25</f>
        <v>1083712</v>
      </c>
      <c r="L10" s="548">
        <f>'1.sz.m-önk.össze.bev'!N25</f>
        <v>1083712</v>
      </c>
    </row>
    <row r="11" spans="1:12" ht="26.25" customHeight="1" thickBot="1">
      <c r="A11" s="544" t="s">
        <v>12</v>
      </c>
      <c r="B11" s="547" t="s">
        <v>488</v>
      </c>
      <c r="C11" s="546">
        <f>'1.sz.m-önk.össze.bev'!E55</f>
        <v>0</v>
      </c>
      <c r="D11" s="546">
        <f>'1.sz.m-önk.össze.bev'!F55</f>
        <v>0</v>
      </c>
      <c r="E11" s="546">
        <f>'1.sz.m-önk.össze.bev'!G55</f>
        <v>0</v>
      </c>
      <c r="F11" s="546">
        <f>'1.sz.m-önk.össze.bev'!H55</f>
        <v>0</v>
      </c>
      <c r="G11" s="546">
        <f>'1.sz.m-önk.össze.bev'!I55</f>
        <v>472441</v>
      </c>
      <c r="H11" s="546">
        <f>'1.sz.m-önk.össze.bev'!J55</f>
        <v>472441</v>
      </c>
      <c r="I11" s="1170">
        <f t="shared" si="0"/>
        <v>1</v>
      </c>
      <c r="J11" s="546">
        <f>'1.sz.m-önk.össze.bev'!L55</f>
        <v>0</v>
      </c>
      <c r="K11" s="546">
        <f>'1.sz.m-önk.össze.bev'!M55</f>
        <v>0</v>
      </c>
      <c r="L11" s="546">
        <f>'1.sz.m-önk.össze.bev'!N55</f>
        <v>0</v>
      </c>
    </row>
    <row r="12" spans="1:12" ht="26.25" customHeight="1" thickBot="1">
      <c r="A12" s="1758" t="s">
        <v>389</v>
      </c>
      <c r="B12" s="1759"/>
      <c r="C12" s="549">
        <f aca="true" t="shared" si="1" ref="C12:L12">SUM(C6:C11)</f>
        <v>181643712</v>
      </c>
      <c r="D12" s="549">
        <f>SUM(D6:D11)</f>
        <v>181856112</v>
      </c>
      <c r="E12" s="549">
        <f>SUM(E6:E11)</f>
        <v>181856112</v>
      </c>
      <c r="F12" s="549">
        <f>SUM(F6:F11)</f>
        <v>182636826</v>
      </c>
      <c r="G12" s="549">
        <f t="shared" si="1"/>
        <v>218674739</v>
      </c>
      <c r="H12" s="549">
        <f>SUM(H6:H11)</f>
        <v>214327216</v>
      </c>
      <c r="I12" s="1172">
        <f t="shared" si="0"/>
        <v>0.9801187689996511</v>
      </c>
      <c r="J12" s="549">
        <f t="shared" si="1"/>
        <v>152356938</v>
      </c>
      <c r="K12" s="549">
        <f t="shared" si="1"/>
        <v>152569338</v>
      </c>
      <c r="L12" s="549">
        <f t="shared" si="1"/>
        <v>152359338</v>
      </c>
    </row>
    <row r="13" spans="1:5" ht="23.25" customHeight="1">
      <c r="A13" s="1760"/>
      <c r="B13" s="1760"/>
      <c r="C13" s="1760"/>
      <c r="D13" s="550"/>
      <c r="E13" s="550"/>
    </row>
  </sheetData>
  <sheetProtection/>
  <mergeCells count="5">
    <mergeCell ref="A12:B12"/>
    <mergeCell ref="A13:C13"/>
    <mergeCell ref="A2:I2"/>
    <mergeCell ref="C1:I1"/>
    <mergeCell ref="C3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60" zoomScalePageLayoutView="0" workbookViewId="0" topLeftCell="A1">
      <selection activeCell="A12" sqref="A12:IV14"/>
    </sheetView>
  </sheetViews>
  <sheetFormatPr defaultColWidth="9.140625" defaultRowHeight="12.75"/>
  <cols>
    <col min="1" max="1" width="9.140625" style="776" customWidth="1"/>
    <col min="2" max="2" width="19.140625" style="776" customWidth="1"/>
    <col min="3" max="3" width="14.421875" style="776" customWidth="1"/>
    <col min="4" max="4" width="13.7109375" style="776" customWidth="1"/>
    <col min="5" max="5" width="16.28125" style="776" customWidth="1"/>
    <col min="6" max="6" width="19.140625" style="776" bestFit="1" customWidth="1"/>
    <col min="7" max="16384" width="9.140625" style="776" customWidth="1"/>
  </cols>
  <sheetData>
    <row r="1" spans="1:6" ht="15">
      <c r="A1" s="1112"/>
      <c r="B1" s="1112"/>
      <c r="C1" s="1113"/>
      <c r="D1" s="1112"/>
      <c r="E1" s="1112"/>
      <c r="F1" s="1114" t="s">
        <v>888</v>
      </c>
    </row>
    <row r="2" spans="1:6" ht="15">
      <c r="A2" s="1112"/>
      <c r="B2" s="1112"/>
      <c r="C2" s="1113"/>
      <c r="D2" s="1112"/>
      <c r="E2" s="1112"/>
      <c r="F2" s="1112"/>
    </row>
    <row r="3" spans="1:6" ht="15.75">
      <c r="A3" s="1764" t="s">
        <v>889</v>
      </c>
      <c r="B3" s="1764"/>
      <c r="C3" s="1764"/>
      <c r="D3" s="1764"/>
      <c r="E3" s="1764"/>
      <c r="F3" s="1764"/>
    </row>
    <row r="4" spans="1:6" ht="15.75">
      <c r="A4" s="1764" t="s">
        <v>890</v>
      </c>
      <c r="B4" s="1764"/>
      <c r="C4" s="1764"/>
      <c r="D4" s="1764"/>
      <c r="E4" s="1764"/>
      <c r="F4" s="1764"/>
    </row>
    <row r="5" spans="1:6" ht="16.5" thickBot="1">
      <c r="A5" s="1115"/>
      <c r="B5" s="1116"/>
      <c r="C5" s="1116"/>
      <c r="D5" s="1116"/>
      <c r="E5" s="1765" t="s">
        <v>891</v>
      </c>
      <c r="F5" s="1765"/>
    </row>
    <row r="6" spans="1:6" ht="14.25" customHeight="1">
      <c r="A6" s="1766" t="s">
        <v>555</v>
      </c>
      <c r="B6" s="1768" t="s">
        <v>892</v>
      </c>
      <c r="C6" s="1770" t="s">
        <v>893</v>
      </c>
      <c r="D6" s="1117" t="s">
        <v>894</v>
      </c>
      <c r="E6" s="1118" t="s">
        <v>895</v>
      </c>
      <c r="F6" s="1772" t="s">
        <v>896</v>
      </c>
    </row>
    <row r="7" spans="1:6" ht="15" customHeight="1" thickBot="1">
      <c r="A7" s="1767"/>
      <c r="B7" s="1769"/>
      <c r="C7" s="1771"/>
      <c r="D7" s="1119" t="s">
        <v>897</v>
      </c>
      <c r="E7" s="1120" t="s">
        <v>898</v>
      </c>
      <c r="F7" s="1773"/>
    </row>
    <row r="8" spans="1:6" ht="15.75" thickBot="1">
      <c r="A8" s="1121"/>
      <c r="B8" s="1122" t="s">
        <v>899</v>
      </c>
      <c r="C8" s="1122"/>
      <c r="D8" s="1123"/>
      <c r="E8" s="1123"/>
      <c r="F8" s="1124">
        <v>0</v>
      </c>
    </row>
    <row r="9" spans="1:6" ht="30.75" thickBot="1">
      <c r="A9" s="1125">
        <v>1</v>
      </c>
      <c r="B9" s="1126" t="s">
        <v>900</v>
      </c>
      <c r="C9" s="1127"/>
      <c r="D9" s="1128"/>
      <c r="E9" s="1128"/>
      <c r="F9" s="1129">
        <v>0</v>
      </c>
    </row>
    <row r="10" spans="1:6" ht="15.75" thickBot="1">
      <c r="A10" s="1121"/>
      <c r="B10" s="1122" t="s">
        <v>901</v>
      </c>
      <c r="C10" s="1122"/>
      <c r="D10" s="1123"/>
      <c r="E10" s="1123"/>
      <c r="F10" s="1130"/>
    </row>
    <row r="11" spans="1:6" ht="60.75" thickBot="1">
      <c r="A11" s="1131">
        <v>1</v>
      </c>
      <c r="B11" s="1132" t="s">
        <v>902</v>
      </c>
      <c r="C11" s="1132" t="s">
        <v>903</v>
      </c>
      <c r="D11" s="1133" t="s">
        <v>904</v>
      </c>
      <c r="E11" s="1133" t="s">
        <v>578</v>
      </c>
      <c r="F11" s="1134">
        <v>0</v>
      </c>
    </row>
    <row r="12" spans="1:6" ht="15" hidden="1">
      <c r="A12" s="1135">
        <v>2</v>
      </c>
      <c r="B12" s="1132"/>
      <c r="C12" s="1132"/>
      <c r="D12" s="1133"/>
      <c r="E12" s="1133"/>
      <c r="F12" s="1136"/>
    </row>
    <row r="13" spans="1:6" ht="15" hidden="1">
      <c r="A13" s="1125">
        <v>3</v>
      </c>
      <c r="B13" s="1132"/>
      <c r="C13" s="1132"/>
      <c r="D13" s="1137"/>
      <c r="E13" s="1137"/>
      <c r="F13" s="1138"/>
    </row>
    <row r="14" spans="1:6" ht="15.75" hidden="1" thickBot="1">
      <c r="A14" s="1139">
        <v>4</v>
      </c>
      <c r="B14" s="1140"/>
      <c r="C14" s="1132"/>
      <c r="D14" s="1141"/>
      <c r="E14" s="1141"/>
      <c r="F14" s="1142"/>
    </row>
    <row r="15" spans="1:6" ht="16.5" thickBot="1">
      <c r="A15" s="1121"/>
      <c r="B15" s="1143" t="s">
        <v>582</v>
      </c>
      <c r="C15" s="1143"/>
      <c r="D15" s="1123"/>
      <c r="E15" s="1123"/>
      <c r="F15" s="1130">
        <f>SUM(F11:F14)</f>
        <v>0</v>
      </c>
    </row>
  </sheetData>
  <sheetProtection/>
  <mergeCells count="7">
    <mergeCell ref="A3:F3"/>
    <mergeCell ref="A4:F4"/>
    <mergeCell ref="E5:F5"/>
    <mergeCell ref="A6:A7"/>
    <mergeCell ref="B6:B7"/>
    <mergeCell ref="C6:C7"/>
    <mergeCell ref="F6:F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PageLayoutView="0" workbookViewId="0" topLeftCell="A2">
      <selection activeCell="A2" sqref="A2:G34"/>
    </sheetView>
  </sheetViews>
  <sheetFormatPr defaultColWidth="9.140625" defaultRowHeight="12.75"/>
  <cols>
    <col min="1" max="1" width="2.7109375" style="0" bestFit="1" customWidth="1"/>
    <col min="2" max="2" width="55.57421875" style="0" customWidth="1"/>
    <col min="3" max="3" width="10.140625" style="0" hidden="1" customWidth="1"/>
    <col min="4" max="5" width="13.140625" style="0" bestFit="1" customWidth="1"/>
    <col min="6" max="6" width="16.00390625" style="0" bestFit="1" customWidth="1"/>
    <col min="7" max="7" width="13.140625" style="0" bestFit="1" customWidth="1"/>
  </cols>
  <sheetData>
    <row r="1" spans="1:7" ht="15">
      <c r="A1" s="1762" t="s">
        <v>1023</v>
      </c>
      <c r="B1" s="1762"/>
      <c r="C1" s="1762"/>
      <c r="D1" s="1762"/>
      <c r="E1" s="1762"/>
      <c r="F1" s="1762"/>
      <c r="G1" s="1762"/>
    </row>
    <row r="2" spans="1:7" ht="18.75">
      <c r="A2" s="1761" t="s">
        <v>988</v>
      </c>
      <c r="B2" s="1761"/>
      <c r="C2" s="1761"/>
      <c r="D2" s="1761"/>
      <c r="E2" s="1761"/>
      <c r="F2" s="1761"/>
      <c r="G2" s="1761"/>
    </row>
    <row r="3" spans="1:7" ht="18.75">
      <c r="A3" s="1761" t="s">
        <v>989</v>
      </c>
      <c r="B3" s="1761"/>
      <c r="C3" s="1761"/>
      <c r="D3" s="1761"/>
      <c r="E3" s="1761"/>
      <c r="F3" s="1761"/>
      <c r="G3" s="1761"/>
    </row>
    <row r="4" spans="1:7" ht="15" thickBot="1">
      <c r="A4" s="532"/>
      <c r="B4" s="532"/>
      <c r="C4" s="1763" t="s">
        <v>432</v>
      </c>
      <c r="D4" s="1763"/>
      <c r="E4" s="1763"/>
      <c r="F4" s="1763"/>
      <c r="G4" s="1763"/>
    </row>
    <row r="5" spans="1:7" ht="16.5" thickBot="1">
      <c r="A5" s="1774" t="s">
        <v>385</v>
      </c>
      <c r="B5" s="1775"/>
      <c r="C5" s="535">
        <v>2016</v>
      </c>
      <c r="D5" s="535">
        <v>2019</v>
      </c>
      <c r="E5" s="535">
        <v>2020</v>
      </c>
      <c r="F5" s="535">
        <v>2021</v>
      </c>
      <c r="G5" s="535">
        <v>2022</v>
      </c>
    </row>
    <row r="6" spans="1:7" ht="16.5" hidden="1" thickBot="1">
      <c r="A6" s="536">
        <v>1</v>
      </c>
      <c r="B6" s="537">
        <v>2</v>
      </c>
      <c r="C6" s="538">
        <v>3</v>
      </c>
      <c r="D6" s="538">
        <v>4</v>
      </c>
      <c r="E6" s="538">
        <v>4</v>
      </c>
      <c r="F6" s="538">
        <v>5</v>
      </c>
      <c r="G6" s="538">
        <v>6</v>
      </c>
    </row>
    <row r="7" spans="1:7" ht="15.75">
      <c r="A7" s="1776" t="s">
        <v>281</v>
      </c>
      <c r="B7" s="1777"/>
      <c r="C7" s="1252"/>
      <c r="D7" s="1252">
        <f>+'1.sz.m-önk.össze.bev'!J8</f>
        <v>18435803</v>
      </c>
      <c r="E7" s="1252">
        <v>19350000</v>
      </c>
      <c r="F7" s="1252">
        <v>19350000</v>
      </c>
      <c r="G7" s="1252">
        <v>19350000</v>
      </c>
    </row>
    <row r="8" spans="1:7" ht="15.75">
      <c r="A8" s="1778" t="s">
        <v>386</v>
      </c>
      <c r="B8" s="1779"/>
      <c r="C8" s="1253"/>
      <c r="D8" s="1253">
        <f>+'1.sz.m-önk.össze.bev'!J13</f>
        <v>192680896</v>
      </c>
      <c r="E8" s="1253">
        <v>185000000</v>
      </c>
      <c r="F8" s="1253">
        <v>185000000</v>
      </c>
      <c r="G8" s="1253">
        <v>185000000</v>
      </c>
    </row>
    <row r="9" spans="1:7" ht="15.75">
      <c r="A9" s="1780" t="s">
        <v>990</v>
      </c>
      <c r="B9" s="1781"/>
      <c r="C9" s="1254"/>
      <c r="D9" s="1254">
        <f>+'1.sz.m-önk.össze.bev'!J55</f>
        <v>472441</v>
      </c>
      <c r="E9" s="1254">
        <v>0</v>
      </c>
      <c r="F9" s="1254">
        <v>0</v>
      </c>
      <c r="G9" s="1254">
        <v>0</v>
      </c>
    </row>
    <row r="10" spans="1:7" ht="15.75">
      <c r="A10" s="1780" t="s">
        <v>296</v>
      </c>
      <c r="B10" s="1781"/>
      <c r="C10" s="1254"/>
      <c r="D10" s="1254">
        <f>+'1.sz.m-önk.össze.bev'!J20</f>
        <v>1694964</v>
      </c>
      <c r="E10" s="1254">
        <v>1350000</v>
      </c>
      <c r="F10" s="1254">
        <v>1350000</v>
      </c>
      <c r="G10" s="1254">
        <v>1350000</v>
      </c>
    </row>
    <row r="11" spans="1:7" ht="16.5" thickBot="1">
      <c r="A11" s="1780" t="s">
        <v>388</v>
      </c>
      <c r="B11" s="1781"/>
      <c r="C11" s="1255"/>
      <c r="D11" s="1255">
        <f>+'1.sz.m-önk.össze.bev'!J25</f>
        <v>1043112</v>
      </c>
      <c r="E11" s="1255">
        <v>1325401</v>
      </c>
      <c r="F11" s="1255">
        <v>1325401</v>
      </c>
      <c r="G11" s="1255">
        <v>1325401</v>
      </c>
    </row>
    <row r="12" spans="1:7" ht="16.5" hidden="1" thickBot="1">
      <c r="A12" s="544" t="s">
        <v>12</v>
      </c>
      <c r="B12" s="1256" t="s">
        <v>991</v>
      </c>
      <c r="C12" s="1254"/>
      <c r="D12" s="1254"/>
      <c r="E12" s="1254"/>
      <c r="F12" s="1254" t="e">
        <f>E12/C12</f>
        <v>#DIV/0!</v>
      </c>
      <c r="G12" s="1254"/>
    </row>
    <row r="13" spans="1:7" ht="16.5" thickBot="1">
      <c r="A13" s="1758" t="s">
        <v>389</v>
      </c>
      <c r="B13" s="1759"/>
      <c r="C13" s="1257">
        <f>SUM(C7:C12)</f>
        <v>0</v>
      </c>
      <c r="D13" s="1257">
        <f>SUM(D7:D12)</f>
        <v>214327216</v>
      </c>
      <c r="E13" s="1257">
        <f>SUM(E7:E12)</f>
        <v>207025401</v>
      </c>
      <c r="F13" s="1257">
        <f>SUM(F7:F11)</f>
        <v>207025401</v>
      </c>
      <c r="G13" s="1257">
        <f>SUM(G7:G12)</f>
        <v>207025401</v>
      </c>
    </row>
    <row r="14" spans="1:7" ht="16.5" thickBot="1">
      <c r="A14" s="1758" t="s">
        <v>992</v>
      </c>
      <c r="B14" s="1759"/>
      <c r="C14" s="1257">
        <f>C13/2</f>
        <v>0</v>
      </c>
      <c r="D14" s="1257">
        <f>D13/2</f>
        <v>107163608</v>
      </c>
      <c r="E14" s="1257">
        <f>E13/2</f>
        <v>103512700.5</v>
      </c>
      <c r="F14" s="1257">
        <f>F13/2</f>
        <v>103512700.5</v>
      </c>
      <c r="G14" s="1257">
        <f>G13/2</f>
        <v>103512700.5</v>
      </c>
    </row>
    <row r="15" spans="1:7" ht="16.5" thickBot="1">
      <c r="A15" s="1758" t="s">
        <v>993</v>
      </c>
      <c r="B15" s="1759"/>
      <c r="C15" s="1257">
        <v>0</v>
      </c>
      <c r="D15" s="1257"/>
      <c r="E15" s="1257">
        <v>0</v>
      </c>
      <c r="F15" s="1257">
        <v>0</v>
      </c>
      <c r="G15" s="1257">
        <v>0</v>
      </c>
    </row>
    <row r="16" spans="1:7" ht="16.5" thickBot="1">
      <c r="A16" s="1782" t="s">
        <v>1008</v>
      </c>
      <c r="B16" s="1783"/>
      <c r="C16" s="1258">
        <v>0</v>
      </c>
      <c r="D16" s="1258"/>
      <c r="E16" s="1258">
        <v>0</v>
      </c>
      <c r="F16" s="1258">
        <v>0</v>
      </c>
      <c r="G16" s="1258">
        <v>0</v>
      </c>
    </row>
    <row r="17" spans="1:7" ht="16.5" thickBot="1">
      <c r="A17" s="1758" t="s">
        <v>994</v>
      </c>
      <c r="B17" s="1759"/>
      <c r="C17" s="1257">
        <v>0</v>
      </c>
      <c r="D17" s="1257"/>
      <c r="E17" s="1257">
        <v>0</v>
      </c>
      <c r="F17" s="1257">
        <v>0</v>
      </c>
      <c r="G17" s="1257">
        <v>0</v>
      </c>
    </row>
    <row r="18" spans="1:7" ht="16.5" thickBot="1">
      <c r="A18" s="1784"/>
      <c r="B18" s="1785"/>
      <c r="C18" s="1785"/>
      <c r="D18" s="1785"/>
      <c r="E18" s="1785"/>
      <c r="F18" s="1785"/>
      <c r="G18" s="1786"/>
    </row>
    <row r="19" spans="1:7" ht="16.5" thickBot="1">
      <c r="A19" s="1758" t="s">
        <v>1007</v>
      </c>
      <c r="B19" s="1759"/>
      <c r="C19" s="1257"/>
      <c r="D19" s="1257"/>
      <c r="E19" s="1257"/>
      <c r="F19" s="1257"/>
      <c r="G19" s="1257"/>
    </row>
    <row r="20" spans="1:7" ht="16.5" thickBot="1">
      <c r="A20" s="1782" t="s">
        <v>995</v>
      </c>
      <c r="B20" s="1783"/>
      <c r="C20" s="1258"/>
      <c r="D20" s="1258">
        <v>0</v>
      </c>
      <c r="E20" s="1258">
        <v>0</v>
      </c>
      <c r="F20" s="1258">
        <v>0</v>
      </c>
      <c r="G20" s="1258">
        <v>0</v>
      </c>
    </row>
    <row r="21" spans="1:7" ht="16.5" thickBot="1">
      <c r="A21" s="1758" t="s">
        <v>996</v>
      </c>
      <c r="B21" s="1759"/>
      <c r="C21" s="1257"/>
      <c r="D21" s="1257">
        <v>0</v>
      </c>
      <c r="E21" s="1257">
        <v>0</v>
      </c>
      <c r="F21" s="1257">
        <v>0</v>
      </c>
      <c r="G21" s="1257">
        <v>0</v>
      </c>
    </row>
    <row r="22" spans="1:7" ht="16.5" thickBot="1">
      <c r="A22" s="1758"/>
      <c r="B22" s="1759"/>
      <c r="C22" s="1257"/>
      <c r="D22" s="1257"/>
      <c r="E22" s="1257"/>
      <c r="F22" s="1257"/>
      <c r="G22" s="1257"/>
    </row>
    <row r="23" spans="1:7" ht="16.5" thickBot="1">
      <c r="A23" s="1758" t="s">
        <v>997</v>
      </c>
      <c r="B23" s="1759"/>
      <c r="C23" s="1257"/>
      <c r="D23" s="1257"/>
      <c r="E23" s="1257"/>
      <c r="F23" s="1257"/>
      <c r="G23" s="1257"/>
    </row>
    <row r="24" spans="1:7" ht="16.5" thickBot="1">
      <c r="A24" s="1782" t="s">
        <v>998</v>
      </c>
      <c r="B24" s="1783"/>
      <c r="C24" s="1257">
        <v>0</v>
      </c>
      <c r="D24" s="1257">
        <v>2267801</v>
      </c>
      <c r="E24" s="1257">
        <v>0</v>
      </c>
      <c r="F24" s="1257">
        <v>0</v>
      </c>
      <c r="G24" s="1257">
        <v>0</v>
      </c>
    </row>
    <row r="25" spans="1:7" ht="16.5" thickBot="1">
      <c r="A25" s="1782" t="s">
        <v>999</v>
      </c>
      <c r="B25" s="1783"/>
      <c r="C25" s="1257"/>
      <c r="D25" s="1257">
        <f>+'7.sz.m.Dologi kiadás (3)'!I18</f>
        <v>12832</v>
      </c>
      <c r="E25" s="1257">
        <v>0</v>
      </c>
      <c r="F25" s="1257">
        <v>0</v>
      </c>
      <c r="G25" s="1257">
        <v>0</v>
      </c>
    </row>
    <row r="26" spans="1:7" ht="16.5" thickBot="1">
      <c r="A26" s="1782" t="s">
        <v>1000</v>
      </c>
      <c r="B26" s="1783"/>
      <c r="C26" s="1257"/>
      <c r="D26" s="1257"/>
      <c r="E26" s="1257"/>
      <c r="F26" s="1257"/>
      <c r="G26" s="1257"/>
    </row>
    <row r="27" spans="1:7" ht="16.5" thickBot="1">
      <c r="A27" s="1758" t="s">
        <v>1001</v>
      </c>
      <c r="B27" s="1759"/>
      <c r="C27" s="1257">
        <f>SUM(C24:C26)</f>
        <v>0</v>
      </c>
      <c r="D27" s="1257">
        <f>SUM(D24:D26)</f>
        <v>2280633</v>
      </c>
      <c r="E27" s="1257">
        <f>SUM(E24:E26)</f>
        <v>0</v>
      </c>
      <c r="F27" s="1257">
        <v>0</v>
      </c>
      <c r="G27" s="1257">
        <f>SUM(G24:G26)</f>
        <v>0</v>
      </c>
    </row>
    <row r="28" spans="1:7" ht="16.5" thickBot="1">
      <c r="A28" s="1784"/>
      <c r="B28" s="1787"/>
      <c r="C28" s="1257"/>
      <c r="D28" s="1257"/>
      <c r="E28" s="1257"/>
      <c r="F28" s="1257"/>
      <c r="G28" s="1257"/>
    </row>
    <row r="29" spans="1:7" ht="16.5" thickBot="1">
      <c r="A29" s="1758" t="s">
        <v>1002</v>
      </c>
      <c r="B29" s="1759"/>
      <c r="C29" s="1257"/>
      <c r="D29" s="1257"/>
      <c r="E29" s="1257"/>
      <c r="F29" s="1257"/>
      <c r="G29" s="1257"/>
    </row>
    <row r="30" spans="1:7" ht="16.5" thickBot="1">
      <c r="A30" s="1782" t="s">
        <v>1003</v>
      </c>
      <c r="B30" s="1783"/>
      <c r="C30" s="1257">
        <v>0</v>
      </c>
      <c r="D30" s="1257"/>
      <c r="E30" s="1257"/>
      <c r="F30" s="1257"/>
      <c r="G30" s="1257"/>
    </row>
    <row r="31" spans="1:7" ht="16.5" thickBot="1">
      <c r="A31" s="1782" t="s">
        <v>1004</v>
      </c>
      <c r="B31" s="1783"/>
      <c r="C31" s="1257"/>
      <c r="D31" s="1257"/>
      <c r="E31" s="1257"/>
      <c r="F31" s="1257"/>
      <c r="G31" s="1257"/>
    </row>
    <row r="32" spans="1:7" ht="16.5" thickBot="1">
      <c r="A32" s="1782" t="s">
        <v>1000</v>
      </c>
      <c r="B32" s="1783"/>
      <c r="C32" s="1257"/>
      <c r="D32" s="1257"/>
      <c r="E32" s="1257"/>
      <c r="F32" s="1257"/>
      <c r="G32" s="1257"/>
    </row>
    <row r="33" spans="1:7" ht="16.5" thickBot="1">
      <c r="A33" s="1758" t="s">
        <v>1005</v>
      </c>
      <c r="B33" s="1759"/>
      <c r="C33" s="1257">
        <f>SUM(C30:C32)</f>
        <v>0</v>
      </c>
      <c r="D33" s="1257">
        <f>SUM(D30:D32)</f>
        <v>0</v>
      </c>
      <c r="E33" s="1257">
        <f>SUM(E30:E32)</f>
        <v>0</v>
      </c>
      <c r="F33" s="1257">
        <f>SUM(F30:F32)</f>
        <v>0</v>
      </c>
      <c r="G33" s="1257">
        <f>SUM(G30:G32)</f>
        <v>0</v>
      </c>
    </row>
    <row r="34" spans="1:7" ht="16.5" thickBot="1">
      <c r="A34" s="1758" t="s">
        <v>1006</v>
      </c>
      <c r="B34" s="1759"/>
      <c r="C34" s="1257">
        <f>C14-C33</f>
        <v>0</v>
      </c>
      <c r="D34" s="1257">
        <f>D14-D33-D27</f>
        <v>104882975</v>
      </c>
      <c r="E34" s="1257">
        <f>E14-E33-E27</f>
        <v>103512700.5</v>
      </c>
      <c r="F34" s="1257">
        <f>F14-F33-F27</f>
        <v>103512700.5</v>
      </c>
      <c r="G34" s="1257">
        <f>G14-G33-G27</f>
        <v>103512700.5</v>
      </c>
    </row>
  </sheetData>
  <sheetProtection/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G18"/>
    <mergeCell ref="A19:B19"/>
    <mergeCell ref="A20:B20"/>
    <mergeCell ref="A8:B8"/>
    <mergeCell ref="A9:B9"/>
    <mergeCell ref="A10:B10"/>
    <mergeCell ref="A11:B11"/>
    <mergeCell ref="A13:B13"/>
    <mergeCell ref="A14:B14"/>
    <mergeCell ref="A1:G1"/>
    <mergeCell ref="A2:G2"/>
    <mergeCell ref="A3:G3"/>
    <mergeCell ref="C4:G4"/>
    <mergeCell ref="A5:B5"/>
    <mergeCell ref="A7:B7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view="pageBreakPreview" zoomScale="60" zoomScalePageLayoutView="0" workbookViewId="0" topLeftCell="A4">
      <selection activeCell="K65" sqref="A4:K65"/>
    </sheetView>
  </sheetViews>
  <sheetFormatPr defaultColWidth="9.140625" defaultRowHeight="12.75"/>
  <cols>
    <col min="1" max="1" width="59.421875" style="426" customWidth="1"/>
    <col min="2" max="2" width="15.7109375" style="426" customWidth="1"/>
    <col min="3" max="3" width="13.140625" style="426" hidden="1" customWidth="1"/>
    <col min="4" max="4" width="13.28125" style="426" hidden="1" customWidth="1"/>
    <col min="5" max="5" width="14.7109375" style="426" hidden="1" customWidth="1"/>
    <col min="6" max="6" width="15.57421875" style="426" customWidth="1"/>
    <col min="7" max="7" width="16.00390625" style="426" customWidth="1"/>
    <col min="8" max="8" width="16.28125" style="426" bestFit="1" customWidth="1"/>
    <col min="9" max="9" width="12.421875" style="426" bestFit="1" customWidth="1"/>
    <col min="10" max="10" width="17.28125" style="426" customWidth="1"/>
    <col min="11" max="11" width="16.140625" style="426" customWidth="1"/>
    <col min="12" max="13" width="10.8515625" style="426" bestFit="1" customWidth="1"/>
    <col min="14" max="16384" width="9.140625" style="426" customWidth="1"/>
  </cols>
  <sheetData>
    <row r="1" spans="1:11" ht="21" customHeight="1">
      <c r="A1" s="1790" t="s">
        <v>1024</v>
      </c>
      <c r="B1" s="1790"/>
      <c r="C1" s="1790"/>
      <c r="D1" s="1790"/>
      <c r="E1" s="1790"/>
      <c r="F1" s="1790"/>
      <c r="G1" s="1790"/>
      <c r="H1" s="1790"/>
      <c r="I1" s="1790"/>
      <c r="J1" s="1790"/>
      <c r="K1" s="1790"/>
    </row>
    <row r="2" spans="1:11" s="427" customFormat="1" ht="51.75" customHeight="1">
      <c r="A2" s="1789" t="s">
        <v>621</v>
      </c>
      <c r="B2" s="1789"/>
      <c r="C2" s="1789"/>
      <c r="D2" s="1789"/>
      <c r="E2" s="1789"/>
      <c r="F2" s="1789"/>
      <c r="G2" s="1789"/>
      <c r="H2" s="1789"/>
      <c r="I2" s="1789"/>
      <c r="J2" s="1789"/>
      <c r="K2" s="1789"/>
    </row>
    <row r="3" spans="1:11" ht="15.75" customHeight="1" thickBot="1">
      <c r="A3" s="428"/>
      <c r="B3" s="1791" t="s">
        <v>434</v>
      </c>
      <c r="C3" s="1791"/>
      <c r="D3" s="1791"/>
      <c r="E3" s="1791"/>
      <c r="F3" s="1791"/>
      <c r="G3" s="1791"/>
      <c r="H3" s="1791"/>
      <c r="I3" s="1791"/>
      <c r="J3" s="1791"/>
      <c r="K3" s="1791"/>
    </row>
    <row r="4" spans="1:11" ht="49.5" customHeight="1" thickBot="1">
      <c r="A4" s="429" t="s">
        <v>248</v>
      </c>
      <c r="B4" s="443" t="s">
        <v>249</v>
      </c>
      <c r="C4" s="443" t="s">
        <v>224</v>
      </c>
      <c r="D4" s="443" t="s">
        <v>229</v>
      </c>
      <c r="E4" s="443" t="s">
        <v>231</v>
      </c>
      <c r="F4" s="443" t="s">
        <v>425</v>
      </c>
      <c r="G4" s="443" t="s">
        <v>1009</v>
      </c>
      <c r="H4" s="443" t="s">
        <v>1010</v>
      </c>
      <c r="I4" s="443" t="s">
        <v>1011</v>
      </c>
      <c r="J4" s="443" t="s">
        <v>1012</v>
      </c>
      <c r="K4" s="443" t="s">
        <v>1013</v>
      </c>
    </row>
    <row r="5" spans="1:11" s="431" customFormat="1" ht="21" customHeight="1">
      <c r="A5" s="430" t="s">
        <v>250</v>
      </c>
      <c r="B5" s="444">
        <v>80038280</v>
      </c>
      <c r="C5" s="444">
        <v>80038280</v>
      </c>
      <c r="D5" s="444">
        <v>80038280</v>
      </c>
      <c r="E5" s="444">
        <v>80038280</v>
      </c>
      <c r="F5" s="444">
        <v>80038280</v>
      </c>
      <c r="G5" s="444">
        <v>80038280</v>
      </c>
      <c r="H5" s="444">
        <v>80038280</v>
      </c>
      <c r="I5" s="444">
        <v>80038280</v>
      </c>
      <c r="J5" s="444">
        <v>0</v>
      </c>
      <c r="K5" s="444">
        <f>+I5-G5</f>
        <v>0</v>
      </c>
    </row>
    <row r="6" spans="1:11" s="431" customFormat="1" ht="21" customHeight="1">
      <c r="A6" s="432" t="s">
        <v>251</v>
      </c>
      <c r="B6" s="445">
        <v>0</v>
      </c>
      <c r="C6" s="445">
        <v>0</v>
      </c>
      <c r="D6" s="445">
        <v>0</v>
      </c>
      <c r="E6" s="445">
        <v>0</v>
      </c>
      <c r="F6" s="445">
        <v>0</v>
      </c>
      <c r="G6" s="445">
        <v>0</v>
      </c>
      <c r="H6" s="445">
        <v>0</v>
      </c>
      <c r="I6" s="445">
        <v>0</v>
      </c>
      <c r="J6" s="445">
        <v>0</v>
      </c>
      <c r="K6" s="445">
        <f aca="true" t="shared" si="0" ref="K6:K60">+I6-G6</f>
        <v>0</v>
      </c>
    </row>
    <row r="7" spans="1:11" s="431" customFormat="1" ht="21" customHeight="1">
      <c r="A7" s="432" t="s">
        <v>252</v>
      </c>
      <c r="B7" s="445">
        <v>0</v>
      </c>
      <c r="C7" s="445">
        <v>0</v>
      </c>
      <c r="D7" s="445">
        <v>0</v>
      </c>
      <c r="E7" s="445">
        <v>0</v>
      </c>
      <c r="F7" s="445">
        <v>0</v>
      </c>
      <c r="G7" s="445">
        <v>0</v>
      </c>
      <c r="H7" s="445">
        <v>0</v>
      </c>
      <c r="I7" s="445">
        <v>0</v>
      </c>
      <c r="J7" s="445">
        <v>0</v>
      </c>
      <c r="K7" s="445">
        <f t="shared" si="0"/>
        <v>0</v>
      </c>
    </row>
    <row r="8" spans="1:11" s="431" customFormat="1" ht="21" customHeight="1">
      <c r="A8" s="432" t="s">
        <v>253</v>
      </c>
      <c r="B8" s="445">
        <v>0</v>
      </c>
      <c r="C8" s="445">
        <v>0</v>
      </c>
      <c r="D8" s="445">
        <v>0</v>
      </c>
      <c r="E8" s="445">
        <v>0</v>
      </c>
      <c r="F8" s="445">
        <v>0</v>
      </c>
      <c r="G8" s="445">
        <v>0</v>
      </c>
      <c r="H8" s="445">
        <v>0</v>
      </c>
      <c r="I8" s="445">
        <v>0</v>
      </c>
      <c r="J8" s="445">
        <v>0</v>
      </c>
      <c r="K8" s="445">
        <f t="shared" si="0"/>
        <v>0</v>
      </c>
    </row>
    <row r="9" spans="1:11" s="431" customFormat="1" ht="21" customHeight="1">
      <c r="A9" s="432" t="s">
        <v>254</v>
      </c>
      <c r="B9" s="445">
        <v>0</v>
      </c>
      <c r="C9" s="445">
        <v>0</v>
      </c>
      <c r="D9" s="445">
        <v>0</v>
      </c>
      <c r="E9" s="445">
        <v>0</v>
      </c>
      <c r="F9" s="445">
        <v>0</v>
      </c>
      <c r="G9" s="445">
        <v>0</v>
      </c>
      <c r="H9" s="445">
        <v>0</v>
      </c>
      <c r="I9" s="445">
        <v>0</v>
      </c>
      <c r="J9" s="445">
        <v>0</v>
      </c>
      <c r="K9" s="445">
        <f t="shared" si="0"/>
        <v>0</v>
      </c>
    </row>
    <row r="10" spans="1:11" s="431" customFormat="1" ht="21" customHeight="1">
      <c r="A10" s="430" t="s">
        <v>255</v>
      </c>
      <c r="B10" s="446">
        <f aca="true" t="shared" si="1" ref="B10:I10">SUM(B6:B9)</f>
        <v>0</v>
      </c>
      <c r="C10" s="446">
        <f t="shared" si="1"/>
        <v>0</v>
      </c>
      <c r="D10" s="446">
        <f t="shared" si="1"/>
        <v>0</v>
      </c>
      <c r="E10" s="446">
        <f t="shared" si="1"/>
        <v>0</v>
      </c>
      <c r="F10" s="446">
        <f t="shared" si="1"/>
        <v>0</v>
      </c>
      <c r="G10" s="446">
        <f t="shared" si="1"/>
        <v>0</v>
      </c>
      <c r="H10" s="446">
        <f t="shared" si="1"/>
        <v>0</v>
      </c>
      <c r="I10" s="446">
        <f t="shared" si="1"/>
        <v>0</v>
      </c>
      <c r="J10" s="446">
        <v>0</v>
      </c>
      <c r="K10" s="446">
        <f t="shared" si="0"/>
        <v>0</v>
      </c>
    </row>
    <row r="11" spans="1:11" s="431" customFormat="1" ht="21" customHeight="1" hidden="1">
      <c r="A11" s="433" t="s">
        <v>256</v>
      </c>
      <c r="B11" s="446"/>
      <c r="C11" s="446"/>
      <c r="D11" s="446"/>
      <c r="E11" s="446"/>
      <c r="F11" s="446"/>
      <c r="G11" s="446"/>
      <c r="H11" s="446"/>
      <c r="I11" s="446"/>
      <c r="J11" s="446">
        <v>0</v>
      </c>
      <c r="K11" s="446">
        <f t="shared" si="0"/>
        <v>0</v>
      </c>
    </row>
    <row r="12" spans="1:11" s="431" customFormat="1" ht="21" customHeight="1">
      <c r="A12" s="430" t="s">
        <v>335</v>
      </c>
      <c r="B12" s="446">
        <v>0</v>
      </c>
      <c r="C12" s="446">
        <v>0</v>
      </c>
      <c r="D12" s="446">
        <v>0</v>
      </c>
      <c r="E12" s="446">
        <v>0</v>
      </c>
      <c r="F12" s="446">
        <v>0</v>
      </c>
      <c r="G12" s="446">
        <v>0</v>
      </c>
      <c r="H12" s="446">
        <v>0</v>
      </c>
      <c r="I12" s="446">
        <v>0</v>
      </c>
      <c r="J12" s="446">
        <v>0</v>
      </c>
      <c r="K12" s="446">
        <f t="shared" si="0"/>
        <v>0</v>
      </c>
    </row>
    <row r="13" spans="1:11" s="431" customFormat="1" ht="21" customHeight="1" hidden="1" thickBot="1">
      <c r="A13" s="430" t="s">
        <v>260</v>
      </c>
      <c r="B13" s="471">
        <v>0</v>
      </c>
      <c r="C13" s="471">
        <v>0</v>
      </c>
      <c r="D13" s="471">
        <v>0</v>
      </c>
      <c r="E13" s="471">
        <v>0</v>
      </c>
      <c r="F13" s="471">
        <v>0</v>
      </c>
      <c r="G13" s="471">
        <v>0</v>
      </c>
      <c r="H13" s="471">
        <v>0</v>
      </c>
      <c r="I13" s="471">
        <v>0</v>
      </c>
      <c r="J13" s="471">
        <v>0</v>
      </c>
      <c r="K13" s="471">
        <f t="shared" si="0"/>
        <v>0</v>
      </c>
    </row>
    <row r="14" spans="1:11" s="431" customFormat="1" ht="21" customHeight="1" thickBot="1">
      <c r="A14" s="623" t="s">
        <v>660</v>
      </c>
      <c r="B14" s="602"/>
      <c r="C14" s="602">
        <v>516719</v>
      </c>
      <c r="D14" s="602">
        <f>516719+295408+138024</f>
        <v>950151</v>
      </c>
      <c r="E14" s="602">
        <f>516719+295408+138024+273741</f>
        <v>1223892</v>
      </c>
      <c r="F14" s="602">
        <f>1628724+138024</f>
        <v>1766748</v>
      </c>
      <c r="G14" s="602">
        <f>1628724+138024</f>
        <v>1766748</v>
      </c>
      <c r="H14" s="602">
        <f>1628724+138024</f>
        <v>1766748</v>
      </c>
      <c r="I14" s="602">
        <f>1628724+138024</f>
        <v>1766748</v>
      </c>
      <c r="J14" s="602">
        <v>0</v>
      </c>
      <c r="K14" s="602">
        <f t="shared" si="0"/>
        <v>0</v>
      </c>
    </row>
    <row r="15" spans="1:11" s="431" customFormat="1" ht="52.5" customHeight="1" thickBot="1">
      <c r="A15" s="803" t="s">
        <v>671</v>
      </c>
      <c r="B15" s="602"/>
      <c r="C15" s="602"/>
      <c r="D15" s="602"/>
      <c r="E15" s="602">
        <v>2584000</v>
      </c>
      <c r="F15" s="602">
        <v>2584000</v>
      </c>
      <c r="G15" s="602">
        <v>2584000</v>
      </c>
      <c r="H15" s="602">
        <v>2584000</v>
      </c>
      <c r="I15" s="602">
        <v>2584000</v>
      </c>
      <c r="J15" s="602">
        <v>0</v>
      </c>
      <c r="K15" s="602">
        <f t="shared" si="0"/>
        <v>0</v>
      </c>
    </row>
    <row r="16" spans="1:14" s="436" customFormat="1" ht="24.75" customHeight="1" thickBot="1">
      <c r="A16" s="435" t="s">
        <v>653</v>
      </c>
      <c r="B16" s="447">
        <f>B5+B10-B11+B12+B13+B14</f>
        <v>80038280</v>
      </c>
      <c r="C16" s="447">
        <f>C5+C10-C11+C12+C13+C14</f>
        <v>80554999</v>
      </c>
      <c r="D16" s="447">
        <f>D5+D10-D11+D12+D13+D14</f>
        <v>80988431</v>
      </c>
      <c r="E16" s="447">
        <f>E5+E10-E11+E12+E13+E14+E15</f>
        <v>83846172</v>
      </c>
      <c r="F16" s="447">
        <f>F5+F10-F11+F12+F13+F14+F15</f>
        <v>84389028</v>
      </c>
      <c r="G16" s="447">
        <f>G5+G10-G11+G12+G13+G14+G15</f>
        <v>84389028</v>
      </c>
      <c r="H16" s="447">
        <f>H5+H10-H11+H12+H13+H14+H15</f>
        <v>84389028</v>
      </c>
      <c r="I16" s="447">
        <f>I5+I10-I11+I12+I13+I14+I15</f>
        <v>84389028</v>
      </c>
      <c r="J16" s="447">
        <v>0</v>
      </c>
      <c r="K16" s="447">
        <f t="shared" si="0"/>
        <v>0</v>
      </c>
      <c r="L16" s="597"/>
      <c r="M16" s="597"/>
      <c r="N16" s="597"/>
    </row>
    <row r="17" spans="1:14" ht="24.75" customHeight="1">
      <c r="A17" s="437" t="s">
        <v>257</v>
      </c>
      <c r="B17" s="444">
        <f>9617300+2940000+18651733+5880000+1983500</f>
        <v>39072533</v>
      </c>
      <c r="C17" s="444">
        <f>9617300+2940000+18651733+5880000+1983500</f>
        <v>39072533</v>
      </c>
      <c r="D17" s="444">
        <f>9617300+2940000+18651733+5880000+1983500</f>
        <v>39072533</v>
      </c>
      <c r="E17" s="444">
        <f>9617300+2940000+18651733+5880000+1983500-145717</f>
        <v>38926816</v>
      </c>
      <c r="F17" s="444">
        <f>37089033+2201685</f>
        <v>39290718</v>
      </c>
      <c r="G17" s="444">
        <f>37089033+2201685</f>
        <v>39290718</v>
      </c>
      <c r="H17" s="444">
        <f>37089033+2201685-145717-39670</f>
        <v>39105331</v>
      </c>
      <c r="I17" s="444">
        <f>37089033+2201685-145717-39670</f>
        <v>39105331</v>
      </c>
      <c r="J17" s="444">
        <v>0</v>
      </c>
      <c r="K17" s="444">
        <f t="shared" si="0"/>
        <v>-185387</v>
      </c>
      <c r="M17" s="626"/>
      <c r="N17" s="597"/>
    </row>
    <row r="18" spans="1:11" ht="24.75" customHeight="1">
      <c r="A18" s="433" t="s">
        <v>258</v>
      </c>
      <c r="B18" s="446">
        <f>4415467+2272667</f>
        <v>6688134</v>
      </c>
      <c r="C18" s="446">
        <f>4415467+2272667</f>
        <v>6688134</v>
      </c>
      <c r="D18" s="446">
        <f>4415467+2272667</f>
        <v>6688134</v>
      </c>
      <c r="E18" s="446">
        <f>4415467+2272667-32467</f>
        <v>6655667</v>
      </c>
      <c r="F18" s="446">
        <v>6590734</v>
      </c>
      <c r="G18" s="446">
        <v>6590734</v>
      </c>
      <c r="H18" s="446">
        <f>6590734-32467</f>
        <v>6558267</v>
      </c>
      <c r="I18" s="446">
        <f>6590734-32467</f>
        <v>6558267</v>
      </c>
      <c r="J18" s="446">
        <v>0</v>
      </c>
      <c r="K18" s="446">
        <f t="shared" si="0"/>
        <v>-32467</v>
      </c>
    </row>
    <row r="19" spans="1:11" ht="50.25" customHeight="1" thickBot="1">
      <c r="A19" s="803" t="s">
        <v>671</v>
      </c>
      <c r="B19" s="804"/>
      <c r="C19" s="804"/>
      <c r="D19" s="804"/>
      <c r="E19" s="804">
        <v>780000</v>
      </c>
      <c r="F19" s="804">
        <v>780000</v>
      </c>
      <c r="G19" s="804">
        <v>780000</v>
      </c>
      <c r="H19" s="804">
        <v>780000</v>
      </c>
      <c r="I19" s="804">
        <v>780000</v>
      </c>
      <c r="J19" s="804">
        <v>0</v>
      </c>
      <c r="K19" s="804">
        <f t="shared" si="0"/>
        <v>0</v>
      </c>
    </row>
    <row r="20" spans="1:12" s="436" customFormat="1" ht="24.75" customHeight="1" thickBot="1">
      <c r="A20" s="435" t="s">
        <v>336</v>
      </c>
      <c r="B20" s="448">
        <f>SUM(B17:B18)</f>
        <v>45760667</v>
      </c>
      <c r="C20" s="448">
        <f>SUM(C17:C18)</f>
        <v>45760667</v>
      </c>
      <c r="D20" s="448">
        <f>SUM(D17:D18)</f>
        <v>45760667</v>
      </c>
      <c r="E20" s="448">
        <f>SUM(E17:E18)+E19</f>
        <v>46362483</v>
      </c>
      <c r="F20" s="448">
        <f>SUM(F17:F18)+F19</f>
        <v>46661452</v>
      </c>
      <c r="G20" s="448">
        <f>SUM(G17:G18)+G19</f>
        <v>46661452</v>
      </c>
      <c r="H20" s="448">
        <f>SUM(H17:H18)+H19</f>
        <v>46443598</v>
      </c>
      <c r="I20" s="448">
        <f>SUM(I17:I18)+I19</f>
        <v>46443598</v>
      </c>
      <c r="J20" s="448">
        <v>0</v>
      </c>
      <c r="K20" s="448">
        <f t="shared" si="0"/>
        <v>-217854</v>
      </c>
      <c r="L20" s="597"/>
    </row>
    <row r="21" spans="1:11" ht="24.75" customHeight="1" hidden="1">
      <c r="A21" s="438" t="s">
        <v>259</v>
      </c>
      <c r="B21" s="449">
        <v>0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49">
        <v>0</v>
      </c>
      <c r="J21" s="449">
        <v>0</v>
      </c>
      <c r="K21" s="449">
        <f t="shared" si="0"/>
        <v>0</v>
      </c>
    </row>
    <row r="22" spans="1:11" ht="24.75" customHeight="1">
      <c r="A22" s="432" t="s">
        <v>437</v>
      </c>
      <c r="B22" s="450">
        <v>20400000</v>
      </c>
      <c r="C22" s="450">
        <v>20400000</v>
      </c>
      <c r="D22" s="450">
        <v>20400000</v>
      </c>
      <c r="E22" s="450">
        <v>20400000</v>
      </c>
      <c r="F22" s="450">
        <v>20400000</v>
      </c>
      <c r="G22" s="450">
        <v>20400000</v>
      </c>
      <c r="H22" s="450">
        <v>20400000</v>
      </c>
      <c r="I22" s="450">
        <v>20400000</v>
      </c>
      <c r="J22" s="450">
        <v>0</v>
      </c>
      <c r="K22" s="450">
        <f t="shared" si="0"/>
        <v>0</v>
      </c>
    </row>
    <row r="23" spans="1:11" ht="24.75" customHeight="1" hidden="1">
      <c r="A23" s="432" t="s">
        <v>261</v>
      </c>
      <c r="B23" s="450"/>
      <c r="C23" s="450"/>
      <c r="D23" s="450"/>
      <c r="E23" s="450"/>
      <c r="F23" s="450"/>
      <c r="G23" s="450"/>
      <c r="H23" s="450"/>
      <c r="I23" s="450"/>
      <c r="J23" s="450">
        <v>0</v>
      </c>
      <c r="K23" s="450">
        <f t="shared" si="0"/>
        <v>0</v>
      </c>
    </row>
    <row r="24" spans="1:11" ht="24.75" customHeight="1">
      <c r="A24" s="432" t="s">
        <v>438</v>
      </c>
      <c r="B24" s="450">
        <v>14919520</v>
      </c>
      <c r="C24" s="450">
        <v>14919520</v>
      </c>
      <c r="D24" s="450">
        <v>14919520</v>
      </c>
      <c r="E24" s="450">
        <f>14919520-608960</f>
        <v>14310560</v>
      </c>
      <c r="F24" s="450">
        <f>14919520-608960</f>
        <v>14310560</v>
      </c>
      <c r="G24" s="450">
        <f>14919520-608960</f>
        <v>14310560</v>
      </c>
      <c r="H24" s="450">
        <f>14919520-608960+608960</f>
        <v>14919520</v>
      </c>
      <c r="I24" s="450">
        <f>14919520-608960+608960</f>
        <v>14919520</v>
      </c>
      <c r="J24" s="450">
        <v>0</v>
      </c>
      <c r="K24" s="450">
        <f t="shared" si="0"/>
        <v>608960</v>
      </c>
    </row>
    <row r="25" spans="1:11" ht="24.75" customHeight="1">
      <c r="A25" s="432" t="s">
        <v>489</v>
      </c>
      <c r="B25" s="450">
        <v>300000</v>
      </c>
      <c r="C25" s="450">
        <v>300000</v>
      </c>
      <c r="D25" s="450">
        <v>300000</v>
      </c>
      <c r="E25" s="450">
        <f>300000-100000</f>
        <v>200000</v>
      </c>
      <c r="F25" s="450">
        <v>150000</v>
      </c>
      <c r="G25" s="450">
        <v>150000</v>
      </c>
      <c r="H25" s="450">
        <f>150000-25000</f>
        <v>125000</v>
      </c>
      <c r="I25" s="450">
        <f>150000-25000</f>
        <v>125000</v>
      </c>
      <c r="J25" s="450">
        <v>0</v>
      </c>
      <c r="K25" s="450">
        <f t="shared" si="0"/>
        <v>-25000</v>
      </c>
    </row>
    <row r="26" spans="1:11" ht="24.75" customHeight="1">
      <c r="A26" s="432" t="s">
        <v>490</v>
      </c>
      <c r="B26" s="450">
        <v>66495000</v>
      </c>
      <c r="C26" s="450">
        <v>66495000</v>
      </c>
      <c r="D26" s="450">
        <v>66495000</v>
      </c>
      <c r="E26" s="450">
        <f>66495000-3861000</f>
        <v>62634000</v>
      </c>
      <c r="F26" s="450">
        <f>66495000-3861000</f>
        <v>62634000</v>
      </c>
      <c r="G26" s="450">
        <f>66495000-3861000</f>
        <v>62634000</v>
      </c>
      <c r="H26" s="450">
        <f>66495000-3861000-429000</f>
        <v>62205000</v>
      </c>
      <c r="I26" s="450">
        <f>66495000-3861000-429000</f>
        <v>62205000</v>
      </c>
      <c r="J26" s="450">
        <v>0</v>
      </c>
      <c r="K26" s="450">
        <f t="shared" si="0"/>
        <v>-429000</v>
      </c>
    </row>
    <row r="27" spans="1:11" ht="24.75" customHeight="1">
      <c r="A27" s="432" t="s">
        <v>491</v>
      </c>
      <c r="B27" s="450">
        <v>2520000</v>
      </c>
      <c r="C27" s="450">
        <v>2520000</v>
      </c>
      <c r="D27" s="450">
        <v>2520000</v>
      </c>
      <c r="E27" s="450">
        <f>2520000+648000</f>
        <v>3168000</v>
      </c>
      <c r="F27" s="450">
        <f>360000+2808000</f>
        <v>3168000</v>
      </c>
      <c r="G27" s="450">
        <f>360000+2808000</f>
        <v>3168000</v>
      </c>
      <c r="H27" s="450">
        <f>360000+2808000</f>
        <v>3168000</v>
      </c>
      <c r="I27" s="450">
        <f>360000+2808000</f>
        <v>3168000</v>
      </c>
      <c r="J27" s="450">
        <v>0</v>
      </c>
      <c r="K27" s="450">
        <f t="shared" si="0"/>
        <v>0</v>
      </c>
    </row>
    <row r="28" spans="1:11" ht="24.75" customHeight="1">
      <c r="A28" s="432" t="s">
        <v>439</v>
      </c>
      <c r="B28" s="450">
        <v>1798500</v>
      </c>
      <c r="C28" s="450">
        <v>1798500</v>
      </c>
      <c r="D28" s="450">
        <v>1798500</v>
      </c>
      <c r="E28" s="450">
        <v>1798500</v>
      </c>
      <c r="F28" s="450">
        <v>1471500</v>
      </c>
      <c r="G28" s="450">
        <v>1471500</v>
      </c>
      <c r="H28" s="450">
        <f>1471500+163500</f>
        <v>1635000</v>
      </c>
      <c r="I28" s="450">
        <f>1471500+163500</f>
        <v>1635000</v>
      </c>
      <c r="J28" s="450">
        <v>0</v>
      </c>
      <c r="K28" s="450">
        <f t="shared" si="0"/>
        <v>163500</v>
      </c>
    </row>
    <row r="29" spans="1:11" ht="24.75" customHeight="1">
      <c r="A29" s="624" t="s">
        <v>492</v>
      </c>
      <c r="B29" s="450">
        <v>3400000</v>
      </c>
      <c r="C29" s="450">
        <v>3400000</v>
      </c>
      <c r="D29" s="450">
        <v>3400000</v>
      </c>
      <c r="E29" s="450">
        <v>3400000</v>
      </c>
      <c r="F29" s="450">
        <v>3400000</v>
      </c>
      <c r="G29" s="450">
        <v>3400000</v>
      </c>
      <c r="H29" s="450">
        <v>3400000</v>
      </c>
      <c r="I29" s="450">
        <v>3400000</v>
      </c>
      <c r="J29" s="450">
        <v>0</v>
      </c>
      <c r="K29" s="450">
        <f t="shared" si="0"/>
        <v>0</v>
      </c>
    </row>
    <row r="30" spans="1:11" ht="32.25" customHeight="1">
      <c r="A30" s="625" t="s">
        <v>493</v>
      </c>
      <c r="B30" s="450">
        <v>5700000</v>
      </c>
      <c r="C30" s="450">
        <v>5700000</v>
      </c>
      <c r="D30" s="450">
        <v>5700000</v>
      </c>
      <c r="E30" s="450">
        <v>5700000</v>
      </c>
      <c r="F30" s="450">
        <v>5700000</v>
      </c>
      <c r="G30" s="450">
        <v>5700000</v>
      </c>
      <c r="H30" s="450">
        <f>5700000+450000</f>
        <v>6150000</v>
      </c>
      <c r="I30" s="450">
        <f>5700000+450000</f>
        <v>6150000</v>
      </c>
      <c r="J30" s="450">
        <v>0</v>
      </c>
      <c r="K30" s="450">
        <f t="shared" si="0"/>
        <v>450000</v>
      </c>
    </row>
    <row r="31" spans="1:11" s="439" customFormat="1" ht="24.75" customHeight="1">
      <c r="A31" s="430" t="s">
        <v>262</v>
      </c>
      <c r="B31" s="452">
        <f aca="true" t="shared" si="2" ref="B31:I31">SUM(B22,B24:B30)</f>
        <v>115533020</v>
      </c>
      <c r="C31" s="452">
        <f t="shared" si="2"/>
        <v>115533020</v>
      </c>
      <c r="D31" s="452">
        <f t="shared" si="2"/>
        <v>115533020</v>
      </c>
      <c r="E31" s="452">
        <f t="shared" si="2"/>
        <v>111611060</v>
      </c>
      <c r="F31" s="452">
        <f t="shared" si="2"/>
        <v>111234060</v>
      </c>
      <c r="G31" s="452">
        <f>SUM(G22,G24:G30)</f>
        <v>111234060</v>
      </c>
      <c r="H31" s="452">
        <f t="shared" si="2"/>
        <v>112002520</v>
      </c>
      <c r="I31" s="452">
        <f t="shared" si="2"/>
        <v>112002520</v>
      </c>
      <c r="J31" s="452">
        <v>0</v>
      </c>
      <c r="K31" s="452">
        <f t="shared" si="0"/>
        <v>768460</v>
      </c>
    </row>
    <row r="32" spans="1:11" s="439" customFormat="1" ht="24.75" customHeight="1">
      <c r="A32" s="468" t="s">
        <v>339</v>
      </c>
      <c r="B32" s="450">
        <v>12293000</v>
      </c>
      <c r="C32" s="450">
        <v>12293000</v>
      </c>
      <c r="D32" s="450">
        <v>12293000</v>
      </c>
      <c r="E32" s="450">
        <f>12293000+380000</f>
        <v>12673000</v>
      </c>
      <c r="F32" s="450">
        <v>12711000</v>
      </c>
      <c r="G32" s="450">
        <v>12711000</v>
      </c>
      <c r="H32" s="450">
        <f>12711000+76000</f>
        <v>12787000</v>
      </c>
      <c r="I32" s="450">
        <f>12711000+76000</f>
        <v>12787000</v>
      </c>
      <c r="J32" s="450">
        <v>0</v>
      </c>
      <c r="K32" s="450">
        <f t="shared" si="0"/>
        <v>76000</v>
      </c>
    </row>
    <row r="33" spans="1:11" s="439" customFormat="1" ht="24.75" customHeight="1">
      <c r="A33" s="468" t="s">
        <v>338</v>
      </c>
      <c r="B33" s="450">
        <v>5592437</v>
      </c>
      <c r="C33" s="450">
        <v>5592437</v>
      </c>
      <c r="D33" s="450">
        <v>5592437</v>
      </c>
      <c r="E33" s="450">
        <f>5592437-90238</f>
        <v>5502199</v>
      </c>
      <c r="F33" s="450">
        <v>6699856</v>
      </c>
      <c r="G33" s="450">
        <v>6699856</v>
      </c>
      <c r="H33" s="450">
        <v>6699856</v>
      </c>
      <c r="I33" s="450">
        <v>6699856</v>
      </c>
      <c r="J33" s="450">
        <v>0</v>
      </c>
      <c r="K33" s="450">
        <f t="shared" si="0"/>
        <v>0</v>
      </c>
    </row>
    <row r="34" spans="1:11" s="439" customFormat="1" ht="24.75" customHeight="1">
      <c r="A34" s="624" t="s">
        <v>440</v>
      </c>
      <c r="B34" s="577">
        <v>35910</v>
      </c>
      <c r="C34" s="577">
        <v>35910</v>
      </c>
      <c r="D34" s="577">
        <v>35910</v>
      </c>
      <c r="E34" s="577">
        <f>35910-1140</f>
        <v>34770</v>
      </c>
      <c r="F34" s="577">
        <v>3990</v>
      </c>
      <c r="G34" s="577">
        <v>3990</v>
      </c>
      <c r="H34" s="577">
        <f>3990-3990</f>
        <v>0</v>
      </c>
      <c r="I34" s="577">
        <f>3990-3990</f>
        <v>0</v>
      </c>
      <c r="J34" s="577">
        <v>0</v>
      </c>
      <c r="K34" s="577">
        <f t="shared" si="0"/>
        <v>-3990</v>
      </c>
    </row>
    <row r="35" spans="1:11" s="439" customFormat="1" ht="24.75" customHeight="1" thickBot="1">
      <c r="A35" s="469" t="s">
        <v>337</v>
      </c>
      <c r="B35" s="470">
        <f aca="true" t="shared" si="3" ref="B35:I35">SUM(B32:B34)</f>
        <v>17921347</v>
      </c>
      <c r="C35" s="470">
        <f t="shared" si="3"/>
        <v>17921347</v>
      </c>
      <c r="D35" s="470">
        <f t="shared" si="3"/>
        <v>17921347</v>
      </c>
      <c r="E35" s="470">
        <f t="shared" si="3"/>
        <v>18209969</v>
      </c>
      <c r="F35" s="470">
        <f t="shared" si="3"/>
        <v>19414846</v>
      </c>
      <c r="G35" s="470">
        <f t="shared" si="3"/>
        <v>19414846</v>
      </c>
      <c r="H35" s="470">
        <f t="shared" si="3"/>
        <v>19486856</v>
      </c>
      <c r="I35" s="470">
        <f t="shared" si="3"/>
        <v>19486856</v>
      </c>
      <c r="J35" s="470">
        <v>0</v>
      </c>
      <c r="K35" s="470">
        <f t="shared" si="0"/>
        <v>72010</v>
      </c>
    </row>
    <row r="36" spans="1:11" s="439" customFormat="1" ht="24.75" customHeight="1" thickBot="1">
      <c r="A36" s="603" t="s">
        <v>654</v>
      </c>
      <c r="B36" s="604">
        <v>8979000</v>
      </c>
      <c r="C36" s="604">
        <v>8979000</v>
      </c>
      <c r="D36" s="604">
        <v>8979000</v>
      </c>
      <c r="E36" s="604">
        <v>8979000</v>
      </c>
      <c r="F36" s="604">
        <v>8979000</v>
      </c>
      <c r="G36" s="604">
        <v>8979000</v>
      </c>
      <c r="H36" s="604">
        <v>8979000</v>
      </c>
      <c r="I36" s="604">
        <v>8979000</v>
      </c>
      <c r="J36" s="604">
        <v>0</v>
      </c>
      <c r="K36" s="604">
        <f t="shared" si="0"/>
        <v>0</v>
      </c>
    </row>
    <row r="37" spans="1:11" s="439" customFormat="1" ht="24.75" customHeight="1" thickBot="1">
      <c r="A37" s="603" t="s">
        <v>655</v>
      </c>
      <c r="B37" s="604">
        <v>3214000</v>
      </c>
      <c r="C37" s="604">
        <v>3214000</v>
      </c>
      <c r="D37" s="604">
        <v>3214000</v>
      </c>
      <c r="E37" s="604">
        <v>3214000</v>
      </c>
      <c r="F37" s="604">
        <v>3664000</v>
      </c>
      <c r="G37" s="604">
        <v>3664000</v>
      </c>
      <c r="H37" s="604">
        <v>3664000</v>
      </c>
      <c r="I37" s="604">
        <v>3664000</v>
      </c>
      <c r="J37" s="604">
        <v>0</v>
      </c>
      <c r="K37" s="604">
        <f t="shared" si="0"/>
        <v>0</v>
      </c>
    </row>
    <row r="38" spans="1:11" s="439" customFormat="1" ht="24.75" customHeight="1" thickBot="1">
      <c r="A38" s="603" t="s">
        <v>499</v>
      </c>
      <c r="B38" s="604"/>
      <c r="C38" s="604">
        <v>5194247</v>
      </c>
      <c r="D38" s="604">
        <f>5194247+2657818</f>
        <v>7852065</v>
      </c>
      <c r="E38" s="604">
        <f>5194247+2657818+2578682</f>
        <v>10430747</v>
      </c>
      <c r="F38" s="604">
        <v>15363067</v>
      </c>
      <c r="G38" s="604">
        <v>15363067</v>
      </c>
      <c r="H38" s="604">
        <v>15363067</v>
      </c>
      <c r="I38" s="604">
        <v>15363067</v>
      </c>
      <c r="J38" s="604">
        <v>0</v>
      </c>
      <c r="K38" s="604">
        <f t="shared" si="0"/>
        <v>0</v>
      </c>
    </row>
    <row r="39" spans="1:11" s="439" customFormat="1" ht="48" customHeight="1" thickBot="1">
      <c r="A39" s="803" t="s">
        <v>671</v>
      </c>
      <c r="B39" s="604"/>
      <c r="C39" s="604"/>
      <c r="D39" s="604"/>
      <c r="E39" s="604">
        <v>8796000</v>
      </c>
      <c r="F39" s="604">
        <v>8796000</v>
      </c>
      <c r="G39" s="604">
        <v>8796000</v>
      </c>
      <c r="H39" s="604">
        <v>8796000</v>
      </c>
      <c r="I39" s="604">
        <v>8796000</v>
      </c>
      <c r="J39" s="604">
        <v>0</v>
      </c>
      <c r="K39" s="604">
        <f t="shared" si="0"/>
        <v>0</v>
      </c>
    </row>
    <row r="40" spans="1:12" s="440" customFormat="1" ht="24.75" customHeight="1" thickBot="1">
      <c r="A40" s="435" t="s">
        <v>340</v>
      </c>
      <c r="B40" s="448">
        <f>B21+B31+B35+B36+B37</f>
        <v>145647367</v>
      </c>
      <c r="C40" s="448">
        <f>C21+C31+C35+C36+C37+C38</f>
        <v>150841614</v>
      </c>
      <c r="D40" s="448">
        <f>D21+D31+D35+D36+D37+D38</f>
        <v>153499432</v>
      </c>
      <c r="E40" s="448">
        <f>E21+E31+E35+E36+E37+E38+E39</f>
        <v>161240776</v>
      </c>
      <c r="F40" s="448">
        <f>F21+F31+F35+F36+F37+F38+F39</f>
        <v>167450973</v>
      </c>
      <c r="G40" s="448">
        <f>G21+G31+G35+G36+G37+G38+G39</f>
        <v>167450973</v>
      </c>
      <c r="H40" s="448">
        <f>H21+H31+H35+H36+H37+H38+H39</f>
        <v>168291443</v>
      </c>
      <c r="I40" s="448">
        <f>I21+I31+I35+I36+I37+I38+I39</f>
        <v>168291443</v>
      </c>
      <c r="J40" s="448">
        <v>0</v>
      </c>
      <c r="K40" s="448">
        <f t="shared" si="0"/>
        <v>840470</v>
      </c>
      <c r="L40" s="751"/>
    </row>
    <row r="41" spans="1:11" s="439" customFormat="1" ht="24.75" customHeight="1" thickBot="1">
      <c r="A41" s="441" t="s">
        <v>341</v>
      </c>
      <c r="B41" s="451">
        <v>3181090</v>
      </c>
      <c r="C41" s="451">
        <v>3181090</v>
      </c>
      <c r="D41" s="451">
        <v>3181090</v>
      </c>
      <c r="E41" s="451">
        <v>3181090</v>
      </c>
      <c r="F41" s="451">
        <v>3181090</v>
      </c>
      <c r="G41" s="451">
        <v>3181090</v>
      </c>
      <c r="H41" s="451">
        <v>3181090</v>
      </c>
      <c r="I41" s="451">
        <v>3181090</v>
      </c>
      <c r="J41" s="451">
        <v>0</v>
      </c>
      <c r="K41" s="451">
        <f t="shared" si="0"/>
        <v>0</v>
      </c>
    </row>
    <row r="42" spans="1:11" ht="24.75" customHeight="1" hidden="1">
      <c r="A42" s="433" t="s">
        <v>263</v>
      </c>
      <c r="B42" s="452"/>
      <c r="C42" s="452"/>
      <c r="D42" s="452"/>
      <c r="E42" s="452"/>
      <c r="F42" s="452"/>
      <c r="G42" s="452"/>
      <c r="H42" s="452"/>
      <c r="I42" s="452"/>
      <c r="J42" s="452">
        <v>0</v>
      </c>
      <c r="K42" s="452">
        <f t="shared" si="0"/>
        <v>0</v>
      </c>
    </row>
    <row r="43" spans="1:11" ht="24.75" customHeight="1" hidden="1">
      <c r="A43" s="434"/>
      <c r="B43" s="453"/>
      <c r="C43" s="453"/>
      <c r="D43" s="453"/>
      <c r="E43" s="453"/>
      <c r="F43" s="453"/>
      <c r="G43" s="453"/>
      <c r="H43" s="453"/>
      <c r="I43" s="453"/>
      <c r="J43" s="453">
        <v>0</v>
      </c>
      <c r="K43" s="453">
        <f t="shared" si="0"/>
        <v>0</v>
      </c>
    </row>
    <row r="44" spans="1:11" ht="24.75" customHeight="1" hidden="1">
      <c r="A44" s="624" t="s">
        <v>492</v>
      </c>
      <c r="B44" s="577"/>
      <c r="C44" s="577"/>
      <c r="D44" s="577"/>
      <c r="E44" s="577"/>
      <c r="F44" s="577"/>
      <c r="G44" s="577"/>
      <c r="H44" s="577"/>
      <c r="I44" s="577"/>
      <c r="J44" s="577">
        <v>0</v>
      </c>
      <c r="K44" s="577">
        <f t="shared" si="0"/>
        <v>0</v>
      </c>
    </row>
    <row r="45" spans="1:11" ht="33.75" customHeight="1" hidden="1">
      <c r="A45" s="625" t="s">
        <v>493</v>
      </c>
      <c r="B45" s="577"/>
      <c r="C45" s="577"/>
      <c r="D45" s="577"/>
      <c r="E45" s="577"/>
      <c r="F45" s="577"/>
      <c r="G45" s="577"/>
      <c r="H45" s="577"/>
      <c r="I45" s="577"/>
      <c r="J45" s="577">
        <v>0</v>
      </c>
      <c r="K45" s="577">
        <f t="shared" si="0"/>
        <v>0</v>
      </c>
    </row>
    <row r="46" spans="1:11" ht="24.75" customHeight="1" hidden="1">
      <c r="A46" s="434" t="s">
        <v>494</v>
      </c>
      <c r="B46" s="453">
        <f aca="true" t="shared" si="4" ref="B46:I46">SUM(B44:B45)</f>
        <v>0</v>
      </c>
      <c r="C46" s="453">
        <f t="shared" si="4"/>
        <v>0</v>
      </c>
      <c r="D46" s="453">
        <f t="shared" si="4"/>
        <v>0</v>
      </c>
      <c r="E46" s="453">
        <f t="shared" si="4"/>
        <v>0</v>
      </c>
      <c r="F46" s="453">
        <f t="shared" si="4"/>
        <v>0</v>
      </c>
      <c r="G46" s="453">
        <f t="shared" si="4"/>
        <v>0</v>
      </c>
      <c r="H46" s="453">
        <f t="shared" si="4"/>
        <v>0</v>
      </c>
      <c r="I46" s="453">
        <f t="shared" si="4"/>
        <v>0</v>
      </c>
      <c r="J46" s="453">
        <v>0</v>
      </c>
      <c r="K46" s="453">
        <f t="shared" si="0"/>
        <v>0</v>
      </c>
    </row>
    <row r="47" spans="1:11" ht="24.75" customHeight="1" hidden="1">
      <c r="A47" s="434" t="s">
        <v>553</v>
      </c>
      <c r="B47" s="453"/>
      <c r="C47" s="453"/>
      <c r="D47" s="453"/>
      <c r="E47" s="453"/>
      <c r="F47" s="453"/>
      <c r="G47" s="453"/>
      <c r="H47" s="453"/>
      <c r="I47" s="453"/>
      <c r="J47" s="453">
        <v>0</v>
      </c>
      <c r="K47" s="453">
        <f t="shared" si="0"/>
        <v>0</v>
      </c>
    </row>
    <row r="48" spans="1:11" ht="51.75" customHeight="1" thickBot="1">
      <c r="A48" s="803" t="s">
        <v>671</v>
      </c>
      <c r="B48" s="453"/>
      <c r="C48" s="453"/>
      <c r="D48" s="453"/>
      <c r="E48" s="453">
        <v>108000</v>
      </c>
      <c r="F48" s="453">
        <v>108000</v>
      </c>
      <c r="G48" s="453">
        <v>108000</v>
      </c>
      <c r="H48" s="453">
        <v>108000</v>
      </c>
      <c r="I48" s="453">
        <v>108000</v>
      </c>
      <c r="J48" s="453">
        <v>0</v>
      </c>
      <c r="K48" s="453">
        <f t="shared" si="0"/>
        <v>0</v>
      </c>
    </row>
    <row r="49" spans="1:11" ht="24.75" customHeight="1">
      <c r="A49" s="434" t="s">
        <v>622</v>
      </c>
      <c r="B49" s="453"/>
      <c r="C49" s="453">
        <v>198370</v>
      </c>
      <c r="D49" s="453">
        <f>198370+220835</f>
        <v>419205</v>
      </c>
      <c r="E49" s="453">
        <f>198370+220835+145992</f>
        <v>565197</v>
      </c>
      <c r="F49" s="453">
        <v>854717</v>
      </c>
      <c r="G49" s="453">
        <v>854717</v>
      </c>
      <c r="H49" s="453">
        <v>854717</v>
      </c>
      <c r="I49" s="453">
        <v>854717</v>
      </c>
      <c r="J49" s="453">
        <v>0</v>
      </c>
      <c r="K49" s="453">
        <f t="shared" si="0"/>
        <v>0</v>
      </c>
    </row>
    <row r="50" spans="1:11" ht="24.75" customHeight="1">
      <c r="A50" s="434" t="s">
        <v>672</v>
      </c>
      <c r="B50" s="453"/>
      <c r="C50" s="453"/>
      <c r="D50" s="453"/>
      <c r="E50" s="453">
        <f>+E49+E48+E41</f>
        <v>3854287</v>
      </c>
      <c r="F50" s="453">
        <f>+F49+F48+F41</f>
        <v>4143807</v>
      </c>
      <c r="G50" s="453">
        <f>+G49+G48+G41</f>
        <v>4143807</v>
      </c>
      <c r="H50" s="453">
        <f>+H49+H48+H41</f>
        <v>4143807</v>
      </c>
      <c r="I50" s="453">
        <f>+I49+I48+I41</f>
        <v>4143807</v>
      </c>
      <c r="J50" s="453">
        <v>0</v>
      </c>
      <c r="K50" s="453">
        <f t="shared" si="0"/>
        <v>0</v>
      </c>
    </row>
    <row r="51" spans="1:11" ht="24.75" customHeight="1">
      <c r="A51" s="434" t="s">
        <v>424</v>
      </c>
      <c r="B51" s="453"/>
      <c r="C51" s="453"/>
      <c r="D51" s="453">
        <v>125000</v>
      </c>
      <c r="E51" s="453">
        <v>125000</v>
      </c>
      <c r="F51" s="453">
        <v>125000</v>
      </c>
      <c r="G51" s="453">
        <v>125000</v>
      </c>
      <c r="H51" s="453">
        <v>125000</v>
      </c>
      <c r="I51" s="453">
        <v>125000</v>
      </c>
      <c r="J51" s="453">
        <v>0</v>
      </c>
      <c r="K51" s="453">
        <f t="shared" si="0"/>
        <v>0</v>
      </c>
    </row>
    <row r="52" spans="1:11" ht="42" customHeight="1" hidden="1">
      <c r="A52" s="704" t="s">
        <v>587</v>
      </c>
      <c r="B52" s="453"/>
      <c r="C52" s="453"/>
      <c r="D52" s="453"/>
      <c r="E52" s="453"/>
      <c r="F52" s="453"/>
      <c r="G52" s="453"/>
      <c r="H52" s="453"/>
      <c r="I52" s="453"/>
      <c r="J52" s="453">
        <v>0</v>
      </c>
      <c r="K52" s="453">
        <f t="shared" si="0"/>
        <v>0</v>
      </c>
    </row>
    <row r="53" spans="1:11" ht="30">
      <c r="A53" s="704" t="s">
        <v>588</v>
      </c>
      <c r="B53" s="453"/>
      <c r="C53" s="453"/>
      <c r="D53" s="453"/>
      <c r="E53" s="453">
        <v>1943100</v>
      </c>
      <c r="F53" s="453">
        <v>1943100</v>
      </c>
      <c r="G53" s="453">
        <v>1943100</v>
      </c>
      <c r="H53" s="453">
        <v>1943100</v>
      </c>
      <c r="I53" s="453">
        <v>1943100</v>
      </c>
      <c r="J53" s="453">
        <v>0</v>
      </c>
      <c r="K53" s="453">
        <f t="shared" si="0"/>
        <v>0</v>
      </c>
    </row>
    <row r="54" spans="1:11" ht="24.75" customHeight="1" hidden="1">
      <c r="A54" s="434" t="s">
        <v>598</v>
      </c>
      <c r="B54" s="453"/>
      <c r="C54" s="453"/>
      <c r="D54" s="453"/>
      <c r="E54" s="453"/>
      <c r="F54" s="453"/>
      <c r="G54" s="453"/>
      <c r="H54" s="453"/>
      <c r="I54" s="453"/>
      <c r="J54" s="453">
        <v>0</v>
      </c>
      <c r="K54" s="453">
        <f t="shared" si="0"/>
        <v>0</v>
      </c>
    </row>
    <row r="55" spans="1:11" ht="24.75" customHeight="1" hidden="1">
      <c r="A55" s="434" t="s">
        <v>424</v>
      </c>
      <c r="B55" s="453"/>
      <c r="C55" s="453"/>
      <c r="D55" s="453"/>
      <c r="E55" s="453"/>
      <c r="F55" s="453"/>
      <c r="G55" s="453"/>
      <c r="H55" s="453"/>
      <c r="I55" s="453"/>
      <c r="J55" s="453">
        <v>0</v>
      </c>
      <c r="K55" s="453">
        <f t="shared" si="0"/>
        <v>0</v>
      </c>
    </row>
    <row r="56" spans="1:11" ht="24.75" customHeight="1" hidden="1">
      <c r="A56" s="434" t="s">
        <v>423</v>
      </c>
      <c r="B56" s="453"/>
      <c r="C56" s="453"/>
      <c r="D56" s="453"/>
      <c r="E56" s="453"/>
      <c r="F56" s="453"/>
      <c r="G56" s="453"/>
      <c r="H56" s="453"/>
      <c r="I56" s="453"/>
      <c r="J56" s="453">
        <v>0</v>
      </c>
      <c r="K56" s="453">
        <f t="shared" si="0"/>
        <v>0</v>
      </c>
    </row>
    <row r="57" spans="1:11" ht="24.75" customHeight="1" hidden="1">
      <c r="A57" s="434" t="s">
        <v>427</v>
      </c>
      <c r="B57" s="453"/>
      <c r="C57" s="453"/>
      <c r="D57" s="453"/>
      <c r="E57" s="453"/>
      <c r="F57" s="453"/>
      <c r="G57" s="453"/>
      <c r="H57" s="453"/>
      <c r="I57" s="453"/>
      <c r="J57" s="453">
        <v>0</v>
      </c>
      <c r="K57" s="453">
        <f t="shared" si="0"/>
        <v>0</v>
      </c>
    </row>
    <row r="58" spans="1:11" ht="24.75" customHeight="1" hidden="1">
      <c r="A58" s="434" t="s">
        <v>599</v>
      </c>
      <c r="B58" s="453"/>
      <c r="C58" s="453"/>
      <c r="D58" s="453"/>
      <c r="E58" s="453"/>
      <c r="F58" s="453"/>
      <c r="G58" s="453"/>
      <c r="H58" s="453"/>
      <c r="I58" s="453"/>
      <c r="J58" s="453">
        <v>0</v>
      </c>
      <c r="K58" s="453">
        <f t="shared" si="0"/>
        <v>0</v>
      </c>
    </row>
    <row r="59" spans="1:11" ht="24.75" customHeight="1" hidden="1">
      <c r="A59" s="434" t="s">
        <v>477</v>
      </c>
      <c r="B59" s="453"/>
      <c r="C59" s="453"/>
      <c r="D59" s="453"/>
      <c r="E59" s="453"/>
      <c r="F59" s="453"/>
      <c r="G59" s="453"/>
      <c r="H59" s="453"/>
      <c r="I59" s="453"/>
      <c r="J59" s="453">
        <v>0</v>
      </c>
      <c r="K59" s="453">
        <f t="shared" si="0"/>
        <v>0</v>
      </c>
    </row>
    <row r="60" spans="1:12" s="436" customFormat="1" ht="26.25" customHeight="1" thickBot="1">
      <c r="A60" s="442" t="s">
        <v>24</v>
      </c>
      <c r="B60" s="454">
        <f>B16+B20+B40+B41+B46+B47</f>
        <v>274627404</v>
      </c>
      <c r="C60" s="454">
        <f>C16+C20+C40+C41+C46+C47+C49</f>
        <v>280536740</v>
      </c>
      <c r="D60" s="454">
        <f>D16+D20+D40+D41+D46+D47+D49+D51</f>
        <v>283973825</v>
      </c>
      <c r="E60" s="454">
        <f>E16+E20+E40+E41+E46+E47+E49+E52+E53+E51+E54+E58+E48</f>
        <v>297371818</v>
      </c>
      <c r="F60" s="454">
        <f>F16+F20+F40+F41+F46+F47+F49+F52+F53+F51+F54+F58+F48</f>
        <v>304713360</v>
      </c>
      <c r="G60" s="454">
        <f>G16+G20+G40+G41+G46+G47+G49+G52+G53+G51+G54+G58+G48</f>
        <v>304713360</v>
      </c>
      <c r="H60" s="454">
        <f>H16+H20+H40+H41+H46+H47+H49+H52+H53+H51+H54+H58+H48</f>
        <v>305335976</v>
      </c>
      <c r="I60" s="454">
        <f>I16+I20+I40+I41+I46+I47+I49+I52+I53+I51+I54+I58+I48</f>
        <v>305335976</v>
      </c>
      <c r="J60" s="454">
        <v>0</v>
      </c>
      <c r="K60" s="454">
        <f t="shared" si="0"/>
        <v>622616</v>
      </c>
      <c r="L60" s="597"/>
    </row>
    <row r="61" ht="15" hidden="1">
      <c r="B61" s="626">
        <f>'3.sz.m Önk  bev.'!E33</f>
        <v>274627404</v>
      </c>
    </row>
    <row r="62" ht="15" hidden="1">
      <c r="B62" s="626">
        <f>B60-B61</f>
        <v>0</v>
      </c>
    </row>
    <row r="63" spans="2:9" ht="15">
      <c r="B63" s="626"/>
      <c r="C63" s="626"/>
      <c r="E63" s="626"/>
      <c r="G63" s="626"/>
      <c r="I63" s="626"/>
    </row>
    <row r="64" spans="1:10" ht="15">
      <c r="A64" s="1788" t="s">
        <v>1014</v>
      </c>
      <c r="B64" s="1788"/>
      <c r="C64" s="1788"/>
      <c r="D64" s="1788"/>
      <c r="E64" s="1788"/>
      <c r="F64" s="1788"/>
      <c r="G64" s="1788"/>
      <c r="H64" s="1788"/>
      <c r="I64" s="1788"/>
      <c r="J64" s="1788"/>
    </row>
    <row r="65" spans="1:11" ht="45">
      <c r="A65" s="1282" t="s">
        <v>1015</v>
      </c>
      <c r="B65" s="1283"/>
      <c r="C65" s="1283"/>
      <c r="D65" s="1283"/>
      <c r="E65" s="1283"/>
      <c r="F65" s="1283"/>
      <c r="G65" s="1283">
        <v>1536000</v>
      </c>
      <c r="H65" s="1283">
        <v>1488000</v>
      </c>
      <c r="I65" s="1283">
        <v>1488000</v>
      </c>
      <c r="J65" s="1283"/>
      <c r="K65" s="1283">
        <f>+I65-G65</f>
        <v>-48000</v>
      </c>
    </row>
    <row r="66" ht="15">
      <c r="D66" s="626"/>
    </row>
  </sheetData>
  <sheetProtection/>
  <mergeCells count="4">
    <mergeCell ref="A64:J64"/>
    <mergeCell ref="A2:K2"/>
    <mergeCell ref="A1:K1"/>
    <mergeCell ref="B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4">
      <selection activeCell="A6" sqref="A6:G13"/>
    </sheetView>
  </sheetViews>
  <sheetFormatPr defaultColWidth="9.140625" defaultRowHeight="12.75"/>
  <cols>
    <col min="1" max="1" width="32.140625" style="1301" customWidth="1"/>
    <col min="2" max="2" width="18.28125" style="1302" customWidth="1"/>
    <col min="3" max="7" width="14.28125" style="1302" customWidth="1"/>
    <col min="8" max="8" width="13.57421875" style="1302" customWidth="1"/>
    <col min="9" max="16384" width="9.140625" style="1302" customWidth="1"/>
  </cols>
  <sheetData>
    <row r="1" spans="6:7" ht="15">
      <c r="F1" s="1792" t="s">
        <v>1025</v>
      </c>
      <c r="G1" s="1792"/>
    </row>
    <row r="2" spans="1:7" ht="24.75" customHeight="1">
      <c r="A2" s="1793" t="s">
        <v>403</v>
      </c>
      <c r="B2" s="1793"/>
      <c r="C2" s="1793"/>
      <c r="D2" s="1793"/>
      <c r="E2" s="1793"/>
      <c r="F2" s="1793"/>
      <c r="G2" s="1793"/>
    </row>
    <row r="3" spans="1:7" ht="18.75" customHeight="1">
      <c r="A3" s="1794" t="s">
        <v>578</v>
      </c>
      <c r="B3" s="1794"/>
      <c r="C3" s="1794"/>
      <c r="D3" s="1794"/>
      <c r="E3" s="1794"/>
      <c r="F3" s="1794"/>
      <c r="G3" s="1794"/>
    </row>
    <row r="4" spans="1:7" ht="24.75" customHeight="1">
      <c r="A4" s="1795" t="s">
        <v>404</v>
      </c>
      <c r="B4" s="1795"/>
      <c r="C4" s="1795"/>
      <c r="D4" s="1795"/>
      <c r="E4" s="1795"/>
      <c r="F4" s="1795"/>
      <c r="G4" s="1795"/>
    </row>
    <row r="5" ht="15.75" thickBot="1">
      <c r="G5" s="1303" t="s">
        <v>434</v>
      </c>
    </row>
    <row r="6" spans="1:7" ht="24.75" customHeight="1">
      <c r="A6" s="1796" t="s">
        <v>405</v>
      </c>
      <c r="B6" s="1798" t="s">
        <v>406</v>
      </c>
      <c r="C6" s="1798"/>
      <c r="D6" s="1798"/>
      <c r="E6" s="1799" t="s">
        <v>407</v>
      </c>
      <c r="F6" s="1798"/>
      <c r="G6" s="1800"/>
    </row>
    <row r="7" spans="1:7" ht="24.75" customHeight="1" thickBot="1">
      <c r="A7" s="1797"/>
      <c r="B7" s="1304" t="s">
        <v>408</v>
      </c>
      <c r="C7" s="1304" t="s">
        <v>409</v>
      </c>
      <c r="D7" s="1304" t="s">
        <v>410</v>
      </c>
      <c r="E7" s="1305" t="s">
        <v>408</v>
      </c>
      <c r="F7" s="1304" t="s">
        <v>411</v>
      </c>
      <c r="G7" s="1306" t="s">
        <v>410</v>
      </c>
    </row>
    <row r="8" spans="1:7" ht="33.75" customHeight="1">
      <c r="A8" s="1284" t="s">
        <v>266</v>
      </c>
      <c r="B8" s="1285"/>
      <c r="C8" s="1285">
        <v>25717626</v>
      </c>
      <c r="D8" s="1285">
        <f>SUM(B8:C8)</f>
        <v>25717626</v>
      </c>
      <c r="E8" s="1286">
        <v>944295</v>
      </c>
      <c r="F8" s="1286">
        <v>13818055</v>
      </c>
      <c r="G8" s="1287">
        <f>SUM(E8:F8)</f>
        <v>14762350</v>
      </c>
    </row>
    <row r="9" spans="1:7" ht="33.75" customHeight="1">
      <c r="A9" s="1288" t="s">
        <v>412</v>
      </c>
      <c r="B9" s="1289"/>
      <c r="C9" s="1289"/>
      <c r="D9" s="1285">
        <f>SUM(B9:C9)</f>
        <v>0</v>
      </c>
      <c r="E9" s="1290"/>
      <c r="F9" s="1290"/>
      <c r="G9" s="1287">
        <f>SUM(E9:F9)</f>
        <v>0</v>
      </c>
    </row>
    <row r="10" spans="1:7" ht="33.75" customHeight="1">
      <c r="A10" s="1288" t="s">
        <v>413</v>
      </c>
      <c r="B10" s="1289">
        <v>7598359</v>
      </c>
      <c r="C10" s="1289"/>
      <c r="D10" s="1285">
        <f>SUM(B10:C10)</f>
        <v>7598359</v>
      </c>
      <c r="E10" s="1290">
        <v>95460</v>
      </c>
      <c r="F10" s="1290"/>
      <c r="G10" s="1287">
        <f>SUM(E10:F10)</f>
        <v>95460</v>
      </c>
    </row>
    <row r="11" spans="1:7" ht="33.75" customHeight="1">
      <c r="A11" s="1291" t="s">
        <v>267</v>
      </c>
      <c r="B11" s="1292"/>
      <c r="C11" s="1292"/>
      <c r="D11" s="1285">
        <f>SUM(B11:C11)</f>
        <v>0</v>
      </c>
      <c r="E11" s="1293"/>
      <c r="F11" s="1293"/>
      <c r="G11" s="1287">
        <f>SUM(E11:F11)</f>
        <v>0</v>
      </c>
    </row>
    <row r="12" spans="1:7" ht="33.75" customHeight="1" thickBot="1">
      <c r="A12" s="1294" t="s">
        <v>268</v>
      </c>
      <c r="B12" s="1295"/>
      <c r="C12" s="1295"/>
      <c r="D12" s="1295">
        <f>SUM(B12:C12)</f>
        <v>0</v>
      </c>
      <c r="E12" s="1296"/>
      <c r="F12" s="1296"/>
      <c r="G12" s="1297">
        <f>SUM(E12:F12)</f>
        <v>0</v>
      </c>
    </row>
    <row r="13" spans="1:7" ht="33.75" customHeight="1" thickBot="1">
      <c r="A13" s="1298" t="s">
        <v>1</v>
      </c>
      <c r="B13" s="1299">
        <f aca="true" t="shared" si="0" ref="B13:G13">SUM(B8:B12)</f>
        <v>7598359</v>
      </c>
      <c r="C13" s="1299">
        <f t="shared" si="0"/>
        <v>25717626</v>
      </c>
      <c r="D13" s="1299">
        <f t="shared" si="0"/>
        <v>33315985</v>
      </c>
      <c r="E13" s="1299">
        <f t="shared" si="0"/>
        <v>1039755</v>
      </c>
      <c r="F13" s="1299">
        <f t="shared" si="0"/>
        <v>13818055</v>
      </c>
      <c r="G13" s="1300">
        <f t="shared" si="0"/>
        <v>14857810</v>
      </c>
    </row>
    <row r="15" spans="1:7" ht="28.5" customHeight="1">
      <c r="A15" s="1795" t="s">
        <v>414</v>
      </c>
      <c r="B15" s="1795"/>
      <c r="C15" s="1795"/>
      <c r="D15" s="1795"/>
      <c r="E15" s="1795"/>
      <c r="F15" s="1795"/>
      <c r="G15" s="1795"/>
    </row>
    <row r="16" ht="15.75" thickBot="1">
      <c r="E16" s="1303"/>
    </row>
    <row r="17" spans="2:4" ht="19.5" customHeight="1">
      <c r="B17" s="1801" t="s">
        <v>248</v>
      </c>
      <c r="C17" s="1803" t="s">
        <v>415</v>
      </c>
      <c r="D17" s="1804"/>
    </row>
    <row r="18" spans="2:4" ht="30" customHeight="1" thickBot="1">
      <c r="B18" s="1802"/>
      <c r="C18" s="1805"/>
      <c r="D18" s="1806"/>
    </row>
    <row r="19" spans="2:4" ht="29.25" customHeight="1">
      <c r="B19" s="1307" t="s">
        <v>416</v>
      </c>
      <c r="C19" s="1807">
        <v>6979616</v>
      </c>
      <c r="D19" s="1808"/>
    </row>
    <row r="20" spans="2:4" ht="28.5" customHeight="1" hidden="1" thickBot="1">
      <c r="B20" s="1308" t="s">
        <v>417</v>
      </c>
      <c r="C20" s="1809"/>
      <c r="D20" s="1810"/>
    </row>
    <row r="21" spans="2:4" s="1309" customFormat="1" ht="27.75" customHeight="1" thickBot="1">
      <c r="B21" s="1310" t="s">
        <v>1</v>
      </c>
      <c r="C21" s="1811">
        <f>SUM(C19:D20)</f>
        <v>6979616</v>
      </c>
      <c r="D21" s="1812"/>
    </row>
  </sheetData>
  <sheetProtection/>
  <mergeCells count="13">
    <mergeCell ref="A15:G15"/>
    <mergeCell ref="B17:B18"/>
    <mergeCell ref="C17:D18"/>
    <mergeCell ref="C19:D19"/>
    <mergeCell ref="C20:D20"/>
    <mergeCell ref="C21:D21"/>
    <mergeCell ref="F1:G1"/>
    <mergeCell ref="A2:G2"/>
    <mergeCell ref="A3:G3"/>
    <mergeCell ref="A4:G4"/>
    <mergeCell ref="A6:A7"/>
    <mergeCell ref="B6:D6"/>
    <mergeCell ref="E6:G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9"/>
  <sheetViews>
    <sheetView view="pageBreakPreview" zoomScale="60" workbookViewId="0" topLeftCell="A16">
      <selection activeCell="I29" sqref="A1:I29"/>
    </sheetView>
  </sheetViews>
  <sheetFormatPr defaultColWidth="9.140625" defaultRowHeight="12.75"/>
  <cols>
    <col min="1" max="1" width="5.8515625" style="1192" customWidth="1"/>
    <col min="2" max="2" width="42.57421875" style="1191" customWidth="1"/>
    <col min="3" max="8" width="11.00390625" style="1191" customWidth="1"/>
    <col min="9" max="9" width="12.28125" style="1191" customWidth="1"/>
    <col min="10" max="10" width="2.8515625" style="1191" customWidth="1"/>
    <col min="11" max="16384" width="9.140625" style="1191" customWidth="1"/>
  </cols>
  <sheetData>
    <row r="1" spans="1:9" ht="27.75" customHeight="1">
      <c r="A1" s="1816" t="s">
        <v>554</v>
      </c>
      <c r="B1" s="1816"/>
      <c r="C1" s="1816"/>
      <c r="D1" s="1816"/>
      <c r="E1" s="1816"/>
      <c r="F1" s="1816"/>
      <c r="G1" s="1816"/>
      <c r="H1" s="1816"/>
      <c r="I1" s="1816"/>
    </row>
    <row r="2" ht="20.25" customHeight="1" thickBot="1">
      <c r="I2" s="1193" t="str">
        <f>'[1]1. sz tájékoztató t.'!E2</f>
        <v>Forintban!</v>
      </c>
    </row>
    <row r="3" spans="1:9" s="1194" customFormat="1" ht="26.25" customHeight="1">
      <c r="A3" s="1817" t="s">
        <v>555</v>
      </c>
      <c r="B3" s="1819" t="s">
        <v>556</v>
      </c>
      <c r="C3" s="1817" t="s">
        <v>557</v>
      </c>
      <c r="D3" s="1821" t="s">
        <v>623</v>
      </c>
      <c r="E3" s="1823" t="s">
        <v>558</v>
      </c>
      <c r="F3" s="1824"/>
      <c r="G3" s="1824"/>
      <c r="H3" s="1825"/>
      <c r="I3" s="1819" t="s">
        <v>1</v>
      </c>
    </row>
    <row r="4" spans="1:9" s="1197" customFormat="1" ht="32.25" customHeight="1" thickBot="1">
      <c r="A4" s="1818"/>
      <c r="B4" s="1820"/>
      <c r="C4" s="1820"/>
      <c r="D4" s="1822"/>
      <c r="E4" s="1195" t="s">
        <v>578</v>
      </c>
      <c r="F4" s="1195" t="s">
        <v>579</v>
      </c>
      <c r="G4" s="1195" t="s">
        <v>656</v>
      </c>
      <c r="H4" s="1196" t="s">
        <v>657</v>
      </c>
      <c r="I4" s="1820"/>
    </row>
    <row r="5" spans="1:9" s="1203" customFormat="1" ht="12.75" customHeight="1" thickBot="1">
      <c r="A5" s="1198" t="s">
        <v>559</v>
      </c>
      <c r="B5" s="1199" t="s">
        <v>14</v>
      </c>
      <c r="C5" s="1200" t="s">
        <v>560</v>
      </c>
      <c r="D5" s="1199" t="s">
        <v>561</v>
      </c>
      <c r="E5" s="1198" t="s">
        <v>562</v>
      </c>
      <c r="F5" s="1200" t="s">
        <v>15</v>
      </c>
      <c r="G5" s="1200" t="s">
        <v>563</v>
      </c>
      <c r="H5" s="1201" t="s">
        <v>544</v>
      </c>
      <c r="I5" s="1202" t="s">
        <v>564</v>
      </c>
    </row>
    <row r="6" spans="1:9" ht="24.75" customHeight="1" thickBot="1">
      <c r="A6" s="735" t="s">
        <v>26</v>
      </c>
      <c r="B6" s="735" t="s">
        <v>565</v>
      </c>
      <c r="C6" s="1204"/>
      <c r="D6" s="1205">
        <f>+D7+D8</f>
        <v>0</v>
      </c>
      <c r="E6" s="1206">
        <f>+E7+E8</f>
        <v>0</v>
      </c>
      <c r="F6" s="1207">
        <f>+F7+F8</f>
        <v>0</v>
      </c>
      <c r="G6" s="1207">
        <f>+G7+G8</f>
        <v>0</v>
      </c>
      <c r="H6" s="1208">
        <f>+H7+H8</f>
        <v>0</v>
      </c>
      <c r="I6" s="1209">
        <f aca="true" t="shared" si="0" ref="I6:I28">SUM(D6:H6)</f>
        <v>0</v>
      </c>
    </row>
    <row r="7" spans="1:10" ht="19.5" customHeight="1">
      <c r="A7" s="1210" t="s">
        <v>27</v>
      </c>
      <c r="B7" s="1210" t="s">
        <v>566</v>
      </c>
      <c r="C7" s="1211"/>
      <c r="D7" s="1212"/>
      <c r="E7" s="1213"/>
      <c r="F7" s="1214"/>
      <c r="G7" s="1214"/>
      <c r="H7" s="1215"/>
      <c r="I7" s="1216">
        <f t="shared" si="0"/>
        <v>0</v>
      </c>
      <c r="J7" s="1813"/>
    </row>
    <row r="8" spans="1:10" ht="19.5" customHeight="1" thickBot="1">
      <c r="A8" s="1210" t="s">
        <v>9</v>
      </c>
      <c r="B8" s="1210" t="s">
        <v>566</v>
      </c>
      <c r="C8" s="1211"/>
      <c r="D8" s="1212"/>
      <c r="E8" s="1213"/>
      <c r="F8" s="1214"/>
      <c r="G8" s="1214"/>
      <c r="H8" s="1215"/>
      <c r="I8" s="1216">
        <f t="shared" si="0"/>
        <v>0</v>
      </c>
      <c r="J8" s="1813"/>
    </row>
    <row r="9" spans="1:10" ht="25.5" customHeight="1" thickBot="1">
      <c r="A9" s="735" t="s">
        <v>10</v>
      </c>
      <c r="B9" s="735" t="s">
        <v>567</v>
      </c>
      <c r="C9" s="1204"/>
      <c r="D9" s="1205">
        <f>+D10+D11</f>
        <v>0</v>
      </c>
      <c r="E9" s="1206">
        <f>+E10+E11</f>
        <v>2280633</v>
      </c>
      <c r="F9" s="1207">
        <f>+F10+F11</f>
        <v>0</v>
      </c>
      <c r="G9" s="1207">
        <f>+G10+G11</f>
        <v>0</v>
      </c>
      <c r="H9" s="1208">
        <f>+H10+H11</f>
        <v>0</v>
      </c>
      <c r="I9" s="1209">
        <f t="shared" si="0"/>
        <v>2280633</v>
      </c>
      <c r="J9" s="1813"/>
    </row>
    <row r="10" spans="1:10" ht="19.5" customHeight="1">
      <c r="A10" s="1210" t="s">
        <v>11</v>
      </c>
      <c r="B10" s="1210" t="s">
        <v>583</v>
      </c>
      <c r="C10" s="1211"/>
      <c r="D10" s="1212"/>
      <c r="E10" s="1213">
        <f>+'14. sz adósság kötelezettség'!C7</f>
        <v>2280633</v>
      </c>
      <c r="F10" s="1214">
        <f>+'14. sz adósság kötelezettség'!D7</f>
        <v>0</v>
      </c>
      <c r="G10" s="1214"/>
      <c r="H10" s="1215"/>
      <c r="I10" s="1216">
        <f t="shared" si="0"/>
        <v>2280633</v>
      </c>
      <c r="J10" s="1813"/>
    </row>
    <row r="11" spans="1:10" ht="19.5" customHeight="1" thickBot="1">
      <c r="A11" s="1210" t="s">
        <v>12</v>
      </c>
      <c r="B11" s="1210" t="s">
        <v>566</v>
      </c>
      <c r="C11" s="1211"/>
      <c r="D11" s="1212"/>
      <c r="E11" s="1213"/>
      <c r="F11" s="1214"/>
      <c r="G11" s="1214"/>
      <c r="H11" s="1215"/>
      <c r="I11" s="1216">
        <f t="shared" si="0"/>
        <v>0</v>
      </c>
      <c r="J11" s="1813"/>
    </row>
    <row r="12" spans="1:10" ht="19.5" customHeight="1" thickBot="1">
      <c r="A12" s="735" t="s">
        <v>13</v>
      </c>
      <c r="B12" s="735" t="s">
        <v>568</v>
      </c>
      <c r="C12" s="1204"/>
      <c r="D12" s="1205">
        <f>SUM(D13:D16)</f>
        <v>68931368</v>
      </c>
      <c r="E12" s="1206">
        <f>SUM(E13:E16)</f>
        <v>34003421</v>
      </c>
      <c r="F12" s="1207">
        <f>SUM(F13:F17)</f>
        <v>29164623</v>
      </c>
      <c r="G12" s="1207">
        <f>SUM(G13:G17)</f>
        <v>0</v>
      </c>
      <c r="H12" s="1208">
        <f>SUM(H13:H17)</f>
        <v>0</v>
      </c>
      <c r="I12" s="1209">
        <f>SUM(D12:H12)</f>
        <v>132099412</v>
      </c>
      <c r="J12" s="1813"/>
    </row>
    <row r="13" spans="1:10" ht="79.5" customHeight="1">
      <c r="A13" s="733" t="s">
        <v>56</v>
      </c>
      <c r="B13" s="733" t="s">
        <v>600</v>
      </c>
      <c r="C13" s="1217" t="s">
        <v>569</v>
      </c>
      <c r="D13" s="1218"/>
      <c r="E13" s="1219">
        <v>24439880</v>
      </c>
      <c r="F13" s="1219"/>
      <c r="G13" s="1219"/>
      <c r="H13" s="1220"/>
      <c r="I13" s="1221">
        <f t="shared" si="0"/>
        <v>24439880</v>
      </c>
      <c r="J13" s="1813"/>
    </row>
    <row r="14" spans="1:10" ht="22.5" hidden="1">
      <c r="A14" s="734" t="s">
        <v>57</v>
      </c>
      <c r="B14" s="734" t="s">
        <v>570</v>
      </c>
      <c r="C14" s="1222" t="s">
        <v>569</v>
      </c>
      <c r="D14" s="1223"/>
      <c r="E14" s="1224"/>
      <c r="F14" s="1225"/>
      <c r="G14" s="1225"/>
      <c r="H14" s="1226"/>
      <c r="I14" s="1216">
        <f t="shared" si="0"/>
        <v>0</v>
      </c>
      <c r="J14" s="1813"/>
    </row>
    <row r="15" spans="1:10" ht="12.75">
      <c r="A15" s="734" t="s">
        <v>57</v>
      </c>
      <c r="B15" s="734" t="s">
        <v>571</v>
      </c>
      <c r="C15" s="1222" t="s">
        <v>569</v>
      </c>
      <c r="D15" s="1223">
        <f>1536700+76958209-9563541</f>
        <v>68931368</v>
      </c>
      <c r="E15" s="1224">
        <f>+'6.a.sz.m.fejlesztés (4)'!D11</f>
        <v>9563541</v>
      </c>
      <c r="F15" s="1225"/>
      <c r="G15" s="1225"/>
      <c r="H15" s="1226"/>
      <c r="I15" s="1216">
        <f t="shared" si="0"/>
        <v>78494909</v>
      </c>
      <c r="J15" s="1813"/>
    </row>
    <row r="16" spans="1:10" ht="12.75">
      <c r="A16" s="734" t="s">
        <v>396</v>
      </c>
      <c r="B16" s="1210" t="str">
        <f>+'6.a.sz.m.fejlesztés (4)'!B20</f>
        <v>MFP Vicai faluház újraépítése</v>
      </c>
      <c r="C16" s="1222"/>
      <c r="D16" s="1212"/>
      <c r="E16" s="1213"/>
      <c r="F16" s="1225">
        <f>+'6.a.sz.m.fejlesztés (4)'!H20</f>
        <v>29164623</v>
      </c>
      <c r="G16" s="1225"/>
      <c r="H16" s="1226"/>
      <c r="I16" s="1216">
        <f t="shared" si="0"/>
        <v>29164623</v>
      </c>
      <c r="J16" s="1813"/>
    </row>
    <row r="17" spans="1:10" ht="13.5" thickBot="1">
      <c r="A17" s="1210" t="s">
        <v>398</v>
      </c>
      <c r="B17" s="1227" t="s">
        <v>566</v>
      </c>
      <c r="C17" s="1228"/>
      <c r="D17" s="1229"/>
      <c r="E17" s="1230"/>
      <c r="F17" s="1231"/>
      <c r="G17" s="1231"/>
      <c r="H17" s="1232"/>
      <c r="I17" s="1233">
        <f t="shared" si="0"/>
        <v>0</v>
      </c>
      <c r="J17" s="1813"/>
    </row>
    <row r="18" spans="1:10" ht="19.5" customHeight="1" thickBot="1">
      <c r="A18" s="735" t="s">
        <v>399</v>
      </c>
      <c r="B18" s="735" t="s">
        <v>572</v>
      </c>
      <c r="C18" s="1204"/>
      <c r="D18" s="1205">
        <f>SUM(D19:D21)</f>
        <v>110999152</v>
      </c>
      <c r="E18" s="1234">
        <f>SUM(E19:E24)</f>
        <v>57270828</v>
      </c>
      <c r="F18" s="1235">
        <f>SUM(F19:F24)</f>
        <v>109539399</v>
      </c>
      <c r="G18" s="1235">
        <f>SUM(G19:G24)</f>
        <v>0</v>
      </c>
      <c r="H18" s="1236">
        <f>SUM(H19:H24)</f>
        <v>0</v>
      </c>
      <c r="I18" s="1209">
        <f t="shared" si="0"/>
        <v>277809379</v>
      </c>
      <c r="J18" s="1813"/>
    </row>
    <row r="19" spans="1:10" ht="28.5" customHeight="1">
      <c r="A19" s="1237" t="s">
        <v>400</v>
      </c>
      <c r="B19" s="1237" t="s">
        <v>573</v>
      </c>
      <c r="C19" s="1238" t="s">
        <v>569</v>
      </c>
      <c r="D19" s="1239">
        <f>3810000+127117705+2260600-22189156+3</f>
        <v>110999152</v>
      </c>
      <c r="E19" s="1234">
        <f>+'6.a.sz.m.fejlesztés (4)'!D37</f>
        <v>22189156</v>
      </c>
      <c r="F19" s="1235"/>
      <c r="G19" s="1235"/>
      <c r="H19" s="1236"/>
      <c r="I19" s="1221">
        <f aca="true" t="shared" si="1" ref="I19:I24">SUM(D19:H19)</f>
        <v>133188308</v>
      </c>
      <c r="J19" s="1813"/>
    </row>
    <row r="20" spans="1:10" ht="19.5" customHeight="1" thickBot="1">
      <c r="A20" s="1210" t="s">
        <v>401</v>
      </c>
      <c r="B20" s="734" t="s">
        <v>581</v>
      </c>
      <c r="C20" s="1211" t="s">
        <v>580</v>
      </c>
      <c r="D20" s="1212"/>
      <c r="E20" s="1213">
        <f>+'6.a.sz.m.fejlesztés (4)'!H40</f>
        <v>32541672</v>
      </c>
      <c r="F20" s="1214"/>
      <c r="G20" s="1214"/>
      <c r="H20" s="1215"/>
      <c r="I20" s="1216">
        <f t="shared" si="1"/>
        <v>32541672</v>
      </c>
      <c r="J20" s="1813"/>
    </row>
    <row r="21" spans="1:10" ht="19.5" customHeight="1" thickBot="1">
      <c r="A21" s="1237" t="s">
        <v>402</v>
      </c>
      <c r="B21" s="1237" t="s">
        <v>601</v>
      </c>
      <c r="C21" s="1238" t="s">
        <v>658</v>
      </c>
      <c r="D21" s="1239"/>
      <c r="E21" s="1234">
        <v>2540000</v>
      </c>
      <c r="F21" s="1235"/>
      <c r="G21" s="1235"/>
      <c r="H21" s="1236"/>
      <c r="I21" s="1221">
        <f t="shared" si="1"/>
        <v>2540000</v>
      </c>
      <c r="J21" s="1813"/>
    </row>
    <row r="22" spans="1:10" ht="19.5" customHeight="1">
      <c r="A22" s="1237" t="s">
        <v>574</v>
      </c>
      <c r="B22" s="1237" t="str">
        <f>+'6.a.sz.m.fejlesztés (4)'!B47</f>
        <v>MFP - Egészségház felújítása</v>
      </c>
      <c r="C22" s="1238"/>
      <c r="D22" s="1239"/>
      <c r="E22" s="1234"/>
      <c r="F22" s="1235">
        <f>+'6.a.sz.m.fejlesztés (4)'!H47</f>
        <v>76185600</v>
      </c>
      <c r="G22" s="1235"/>
      <c r="H22" s="1236"/>
      <c r="I22" s="1216">
        <f t="shared" si="1"/>
        <v>76185600</v>
      </c>
      <c r="J22" s="1813"/>
    </row>
    <row r="23" spans="1:10" ht="19.5" customHeight="1">
      <c r="A23" s="1210" t="s">
        <v>575</v>
      </c>
      <c r="B23" s="734" t="str">
        <f>+'6.a.sz.m.fejlesztés (4)'!B49</f>
        <v>MFP útfelújítás</v>
      </c>
      <c r="C23" s="1211"/>
      <c r="D23" s="1212"/>
      <c r="E23" s="1213"/>
      <c r="F23" s="1214">
        <f>+'6.a.sz.m.fejlesztés (4)'!H49</f>
        <v>28551400</v>
      </c>
      <c r="G23" s="1214"/>
      <c r="H23" s="1215"/>
      <c r="I23" s="1216">
        <f t="shared" si="1"/>
        <v>28551400</v>
      </c>
      <c r="J23" s="1813"/>
    </row>
    <row r="24" spans="1:10" ht="19.5" customHeight="1" thickBot="1">
      <c r="A24" s="1210" t="s">
        <v>577</v>
      </c>
      <c r="B24" s="734" t="str">
        <f>+'6.a.sz.m.fejlesztés (4)'!B50</f>
        <v>MFP óvodaudvar - kerítésfelújítás</v>
      </c>
      <c r="C24" s="1211"/>
      <c r="D24" s="1212"/>
      <c r="E24" s="1213"/>
      <c r="F24" s="1214">
        <f>+'6.a.sz.m.fejlesztés (4)'!H50</f>
        <v>4802399</v>
      </c>
      <c r="G24" s="1214"/>
      <c r="H24" s="1215"/>
      <c r="I24" s="1216">
        <f t="shared" si="1"/>
        <v>4802399</v>
      </c>
      <c r="J24" s="1813"/>
    </row>
    <row r="25" spans="1:10" ht="19.5" customHeight="1" hidden="1" thickBot="1">
      <c r="A25" s="1210"/>
      <c r="B25" s="734"/>
      <c r="C25" s="1211"/>
      <c r="D25" s="1212"/>
      <c r="E25" s="1213"/>
      <c r="F25" s="1214"/>
      <c r="G25" s="1214"/>
      <c r="H25" s="1215"/>
      <c r="I25" s="1216"/>
      <c r="J25" s="1813"/>
    </row>
    <row r="26" spans="1:10" ht="19.5" customHeight="1" thickBot="1">
      <c r="A26" s="735" t="s">
        <v>700</v>
      </c>
      <c r="B26" s="735" t="s">
        <v>576</v>
      </c>
      <c r="C26" s="1204"/>
      <c r="D26" s="1205">
        <f>+D27</f>
        <v>17893857</v>
      </c>
      <c r="E26" s="1206">
        <f>+E27</f>
        <v>58463823</v>
      </c>
      <c r="F26" s="1207">
        <f>+F27</f>
        <v>18590321</v>
      </c>
      <c r="G26" s="1207">
        <f>+G28</f>
        <v>0</v>
      </c>
      <c r="H26" s="1208">
        <f>+H28</f>
        <v>0</v>
      </c>
      <c r="I26" s="1209">
        <f t="shared" si="0"/>
        <v>94948001</v>
      </c>
      <c r="J26" s="1813"/>
    </row>
    <row r="27" spans="1:10" ht="26.25" customHeight="1">
      <c r="A27" s="736" t="s">
        <v>701</v>
      </c>
      <c r="B27" s="1210" t="s">
        <v>665</v>
      </c>
      <c r="C27" s="1217"/>
      <c r="D27" s="1240">
        <f>+'23. sz. m. EU '!H36</f>
        <v>17893857</v>
      </c>
      <c r="E27" s="1241">
        <f>+'23. sz. m. EU '!I36</f>
        <v>58463823</v>
      </c>
      <c r="F27" s="1242">
        <f>+'23. sz. m. EU '!J36</f>
        <v>18590321</v>
      </c>
      <c r="G27" s="1242"/>
      <c r="H27" s="1243"/>
      <c r="I27" s="1244">
        <f t="shared" si="0"/>
        <v>94948001</v>
      </c>
      <c r="J27" s="1813"/>
    </row>
    <row r="28" spans="1:10" ht="20.25" customHeight="1" thickBot="1">
      <c r="A28" s="1210" t="s">
        <v>702</v>
      </c>
      <c r="B28" s="1210" t="s">
        <v>566</v>
      </c>
      <c r="C28" s="1245"/>
      <c r="D28" s="1246"/>
      <c r="E28" s="1247"/>
      <c r="F28" s="1248"/>
      <c r="G28" s="1248"/>
      <c r="H28" s="1249"/>
      <c r="I28" s="1233">
        <f t="shared" si="0"/>
        <v>0</v>
      </c>
      <c r="J28" s="1813"/>
    </row>
    <row r="29" spans="1:10" ht="19.5" customHeight="1" thickBot="1">
      <c r="A29" s="1814" t="s">
        <v>582</v>
      </c>
      <c r="B29" s="1815"/>
      <c r="C29" s="1250"/>
      <c r="D29" s="1205">
        <f aca="true" t="shared" si="2" ref="D29:I29">+D6+D9+D12+D18+D26</f>
        <v>197824377</v>
      </c>
      <c r="E29" s="1206">
        <f t="shared" si="2"/>
        <v>152018705</v>
      </c>
      <c r="F29" s="1207">
        <f t="shared" si="2"/>
        <v>157294343</v>
      </c>
      <c r="G29" s="1207">
        <f t="shared" si="2"/>
        <v>0</v>
      </c>
      <c r="H29" s="1208">
        <f t="shared" si="2"/>
        <v>0</v>
      </c>
      <c r="I29" s="1209">
        <f t="shared" si="2"/>
        <v>507137425</v>
      </c>
      <c r="J29" s="1813"/>
    </row>
  </sheetData>
  <sheetProtection/>
  <mergeCells count="9">
    <mergeCell ref="J7:J29"/>
    <mergeCell ref="A29:B29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8" r:id="rId1"/>
  <headerFooter alignWithMargins="0">
    <oddHeader>&amp;R20. számú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7"/>
  </sheetPr>
  <dimension ref="A1:C13"/>
  <sheetViews>
    <sheetView view="pageBreakPreview" zoomScale="60" workbookViewId="0" topLeftCell="A1">
      <selection activeCell="E14" sqref="E14"/>
    </sheetView>
  </sheetViews>
  <sheetFormatPr defaultColWidth="60.421875" defaultRowHeight="12.75"/>
  <cols>
    <col min="1" max="1" width="60.421875" style="0" customWidth="1"/>
    <col min="2" max="2" width="5.57421875" style="0" customWidth="1"/>
    <col min="3" max="3" width="11.00390625" style="0" customWidth="1"/>
    <col min="4" max="4" width="14.8515625" style="0" customWidth="1"/>
    <col min="5" max="255" width="10.7109375" style="0" customWidth="1"/>
  </cols>
  <sheetData>
    <row r="1" spans="1:3" ht="15.75">
      <c r="A1" s="1830" t="s">
        <v>916</v>
      </c>
      <c r="B1" s="1830"/>
      <c r="C1" s="1003"/>
    </row>
    <row r="2" spans="1:3" ht="15.75">
      <c r="A2" s="1144"/>
      <c r="B2" s="1144"/>
      <c r="C2" s="1003"/>
    </row>
    <row r="3" spans="1:3" ht="15.75">
      <c r="A3" s="1144"/>
      <c r="B3" s="1144"/>
      <c r="C3" s="1003"/>
    </row>
    <row r="4" spans="1:3" ht="15.75">
      <c r="A4" s="1144"/>
      <c r="B4" s="1144"/>
      <c r="C4" s="1003"/>
    </row>
    <row r="5" spans="1:3" ht="13.5" thickBot="1">
      <c r="A5" s="1831" t="s">
        <v>465</v>
      </c>
      <c r="B5" s="1831"/>
      <c r="C5" s="1831"/>
    </row>
    <row r="6" spans="1:3" ht="28.5" customHeight="1">
      <c r="A6" s="1145" t="s">
        <v>905</v>
      </c>
      <c r="B6" s="1832" t="s">
        <v>906</v>
      </c>
      <c r="C6" s="1833"/>
    </row>
    <row r="7" spans="1:3" ht="12.75">
      <c r="A7" s="1146" t="s">
        <v>907</v>
      </c>
      <c r="B7" s="1826">
        <v>11580000</v>
      </c>
      <c r="C7" s="1827"/>
    </row>
    <row r="8" spans="1:3" ht="12.75" hidden="1">
      <c r="A8" s="1146" t="s">
        <v>908</v>
      </c>
      <c r="B8" s="1826"/>
      <c r="C8" s="1827"/>
    </row>
    <row r="9" spans="1:3" ht="12.75" hidden="1">
      <c r="A9" s="1146"/>
      <c r="B9" s="1826"/>
      <c r="C9" s="1827"/>
    </row>
    <row r="10" spans="1:3" ht="12.75" hidden="1">
      <c r="A10" s="1146"/>
      <c r="B10" s="1826"/>
      <c r="C10" s="1827"/>
    </row>
    <row r="11" spans="1:3" ht="12.75" hidden="1">
      <c r="A11" s="1146"/>
      <c r="B11" s="1826"/>
      <c r="C11" s="1827"/>
    </row>
    <row r="12" spans="1:3" ht="13.5" thickBot="1">
      <c r="A12" s="1173" t="s">
        <v>1</v>
      </c>
      <c r="B12" s="1828">
        <f>B7+B8+B9+B10+B11</f>
        <v>11580000</v>
      </c>
      <c r="C12" s="1829"/>
    </row>
    <row r="13" spans="1:3" ht="15.75">
      <c r="A13" s="1003"/>
      <c r="B13" s="1111"/>
      <c r="C13" s="1003"/>
    </row>
  </sheetData>
  <sheetProtection selectLockedCells="1" selectUnlockedCells="1"/>
  <mergeCells count="9">
    <mergeCell ref="B10:C10"/>
    <mergeCell ref="B11:C11"/>
    <mergeCell ref="B12:C12"/>
    <mergeCell ref="A1:B1"/>
    <mergeCell ref="A5:C5"/>
    <mergeCell ref="B6:C6"/>
    <mergeCell ref="B7:C7"/>
    <mergeCell ref="B8:C8"/>
    <mergeCell ref="B9:C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4" r:id="rId1"/>
  <headerFooter alignWithMargins="0">
    <oddHeader>&amp;R21. számú melléklet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view="pageBreakPreview" zoomScale="60" zoomScaleNormal="85" workbookViewId="0" topLeftCell="B1">
      <selection activeCell="O32" sqref="O32"/>
    </sheetView>
  </sheetViews>
  <sheetFormatPr defaultColWidth="9.140625" defaultRowHeight="12.75"/>
  <cols>
    <col min="1" max="1" width="47.8515625" style="10" bestFit="1" customWidth="1"/>
    <col min="2" max="2" width="19.8515625" style="10" customWidth="1"/>
    <col min="3" max="3" width="18.57421875" style="10" hidden="1" customWidth="1"/>
    <col min="4" max="4" width="20.57421875" style="10" hidden="1" customWidth="1"/>
    <col min="5" max="5" width="19.57421875" style="10" hidden="1" customWidth="1"/>
    <col min="6" max="6" width="19.421875" style="10" customWidth="1"/>
    <col min="7" max="8" width="18.421875" style="10" customWidth="1"/>
    <col min="9" max="9" width="43.57421875" style="10" bestFit="1" customWidth="1"/>
    <col min="10" max="10" width="21.8515625" style="10" customWidth="1"/>
    <col min="11" max="11" width="18.28125" style="10" hidden="1" customWidth="1"/>
    <col min="12" max="12" width="18.421875" style="10" hidden="1" customWidth="1"/>
    <col min="13" max="13" width="19.28125" style="10" hidden="1" customWidth="1"/>
    <col min="14" max="14" width="18.421875" style="10" customWidth="1"/>
    <col min="15" max="15" width="19.00390625" style="10" customWidth="1"/>
    <col min="16" max="16" width="13.28125" style="10" customWidth="1"/>
    <col min="17" max="16384" width="9.140625" style="10" customWidth="1"/>
  </cols>
  <sheetData>
    <row r="1" spans="9:14" ht="12.75">
      <c r="I1" s="1590" t="s">
        <v>534</v>
      </c>
      <c r="J1" s="1590"/>
      <c r="K1" s="1590"/>
      <c r="L1" s="1590"/>
      <c r="M1" s="1590"/>
      <c r="N1" s="1590"/>
    </row>
    <row r="2" spans="1:10" ht="18">
      <c r="A2" s="1587" t="s">
        <v>19</v>
      </c>
      <c r="B2" s="1587"/>
      <c r="C2" s="1587"/>
      <c r="D2" s="1587"/>
      <c r="E2" s="1587"/>
      <c r="F2" s="1587"/>
      <c r="G2" s="1587"/>
      <c r="H2" s="1587"/>
      <c r="I2" s="1587"/>
      <c r="J2" s="1587"/>
    </row>
    <row r="3" spans="1:10" ht="11.25" customHeight="1">
      <c r="A3" s="37"/>
      <c r="B3" s="37"/>
      <c r="C3" s="37"/>
      <c r="D3" s="37"/>
      <c r="E3" s="37"/>
      <c r="F3" s="37"/>
      <c r="G3" s="37"/>
      <c r="H3" s="37"/>
      <c r="I3" s="37"/>
      <c r="J3" s="36" t="s">
        <v>434</v>
      </c>
    </row>
    <row r="4" spans="1:10" ht="17.25" customHeight="1" thickBot="1">
      <c r="A4" s="1588" t="s">
        <v>196</v>
      </c>
      <c r="B4" s="1589"/>
      <c r="C4" s="1589"/>
      <c r="D4" s="1589"/>
      <c r="E4" s="1589"/>
      <c r="F4" s="1589"/>
      <c r="G4" s="1589"/>
      <c r="H4" s="1589"/>
      <c r="I4" s="1588"/>
      <c r="J4" s="1589"/>
    </row>
    <row r="5" spans="1:16" ht="33" customHeight="1" thickBot="1">
      <c r="A5" s="247" t="s">
        <v>6</v>
      </c>
      <c r="B5" s="311" t="s">
        <v>227</v>
      </c>
      <c r="C5" s="312" t="s">
        <v>225</v>
      </c>
      <c r="D5" s="312" t="s">
        <v>228</v>
      </c>
      <c r="E5" s="312" t="s">
        <v>230</v>
      </c>
      <c r="F5" s="312" t="s">
        <v>242</v>
      </c>
      <c r="G5" s="313" t="s">
        <v>233</v>
      </c>
      <c r="H5" s="285" t="s">
        <v>234</v>
      </c>
      <c r="I5" s="285" t="s">
        <v>7</v>
      </c>
      <c r="J5" s="311" t="s">
        <v>227</v>
      </c>
      <c r="K5" s="312" t="s">
        <v>225</v>
      </c>
      <c r="L5" s="312" t="s">
        <v>228</v>
      </c>
      <c r="M5" s="312" t="s">
        <v>230</v>
      </c>
      <c r="N5" s="312" t="s">
        <v>242</v>
      </c>
      <c r="O5" s="313" t="s">
        <v>233</v>
      </c>
      <c r="P5" s="285" t="s">
        <v>234</v>
      </c>
    </row>
    <row r="6" spans="1:16" ht="12.75">
      <c r="A6" s="249" t="s">
        <v>326</v>
      </c>
      <c r="B6" s="314">
        <f>'3.sz.m Önk  bev.'!E7</f>
        <v>194460000</v>
      </c>
      <c r="C6" s="314">
        <f>'3.sz.m Önk  bev.'!F7</f>
        <v>194672400</v>
      </c>
      <c r="D6" s="314">
        <f>'3.sz.m Önk  bev.'!G7</f>
        <v>194672400</v>
      </c>
      <c r="E6" s="314">
        <f>'3.sz.m Önk  bev.'!H7</f>
        <v>194672400</v>
      </c>
      <c r="F6" s="314">
        <f>'3.sz.m Önk  bev.'!I7</f>
        <v>231132621</v>
      </c>
      <c r="G6" s="314">
        <f>'3.sz.m Önk  bev.'!J7</f>
        <v>226539544</v>
      </c>
      <c r="H6" s="900">
        <f>+G6/F6</f>
        <v>0.9801279586579862</v>
      </c>
      <c r="I6" s="300" t="s">
        <v>173</v>
      </c>
      <c r="J6" s="322">
        <f>'4.sz.m.ÖNK kiadás'!E7+'5.1 sz. m Köz Hiv'!D35+'5.2 sz. m ÁMK'!D38+'üres lap'!D27</f>
        <v>213636935</v>
      </c>
      <c r="K6" s="322">
        <f>'4.sz.m.ÖNK kiadás'!F7+'5.1 sz. m Köz Hiv'!E35+'5.2 sz. m ÁMK'!E38+'üres lap'!E27</f>
        <v>219380672</v>
      </c>
      <c r="L6" s="322">
        <f>'4.sz.m.ÖNK kiadás'!G7+'5.1 sz. m Köz Hiv'!F35+'5.2 sz. m ÁMK'!F38+'üres lap'!F27</f>
        <v>221446716</v>
      </c>
      <c r="M6" s="322">
        <f>'4.sz.m.ÖNK kiadás'!H7+'5.1 sz. m Köz Hiv'!G35+'5.2 sz. m ÁMK'!G38+'üres lap'!G27</f>
        <v>221995772</v>
      </c>
      <c r="N6" s="322">
        <f>'4.sz.m.ÖNK kiadás'!I7+'5.1 sz. m Köz Hiv'!H35+'5.2 sz. m ÁMK'!H38+'üres lap'!H27</f>
        <v>223595404</v>
      </c>
      <c r="O6" s="322">
        <f>'4.sz.m.ÖNK kiadás'!J7+'5.1 sz. m Köz Hiv'!I35+'5.2 sz. m ÁMK'!I38+'üres lap'!I27</f>
        <v>218282052</v>
      </c>
      <c r="P6" s="900">
        <f>+O6/N6</f>
        <v>0.9762367566374486</v>
      </c>
    </row>
    <row r="7" spans="1:16" ht="12.75">
      <c r="A7" s="250" t="s">
        <v>327</v>
      </c>
      <c r="B7" s="315">
        <f>'3.sz.m Önk  bev.'!E21+'5.1 sz. m Köz Hiv'!D9+'5.2 sz. m ÁMK'!D9</f>
        <v>72113054</v>
      </c>
      <c r="C7" s="315">
        <f>'3.sz.m Önk  bev.'!F21+'5.1 sz. m Köz Hiv'!E9+'5.2 sz. m ÁMK'!E9</f>
        <v>66248820</v>
      </c>
      <c r="D7" s="315">
        <f>'3.sz.m Önk  bev.'!G21+'5.1 sz. m Köz Hiv'!F9+'5.2 sz. m ÁMK'!F9</f>
        <v>63049091</v>
      </c>
      <c r="E7" s="315">
        <f>'3.sz.m Önk  bev.'!H21+'5.1 sz. m Köz Hiv'!G9+'5.2 sz. m ÁMK'!G9</f>
        <v>75868670</v>
      </c>
      <c r="F7" s="315">
        <f>'3.sz.m Önk  bev.'!I21+'5.1 sz. m Köz Hiv'!H9+'5.2 sz. m ÁMK'!H9</f>
        <v>71492628</v>
      </c>
      <c r="G7" s="315">
        <f>'3.sz.m Önk  bev.'!J21+'5.1 sz. m Köz Hiv'!I9+'5.2 sz. m ÁMK'!I9</f>
        <v>71417044</v>
      </c>
      <c r="H7" s="901">
        <f aca="true" t="shared" si="0" ref="H7:H32">+G7/F7</f>
        <v>0.9989427721135108</v>
      </c>
      <c r="I7" s="301" t="s">
        <v>174</v>
      </c>
      <c r="J7" s="315">
        <f>'4.sz.m.ÖNK kiadás'!E8+'5.1 sz. m Köz Hiv'!D36+'5.2 sz. m ÁMK'!D39+'üres lap'!D28</f>
        <v>41839351</v>
      </c>
      <c r="K7" s="315">
        <f>'4.sz.m.ÖNK kiadás'!F8+'5.1 sz. m Köz Hiv'!E36+'5.2 sz. m ÁMK'!E39+'üres lap'!E28</f>
        <v>43053247</v>
      </c>
      <c r="L7" s="315">
        <f>'4.sz.m.ÖNK kiadás'!G8+'5.1 sz. m Köz Hiv'!F36+'5.2 sz. m ÁMK'!F39+'üres lap'!F28</f>
        <v>43460332</v>
      </c>
      <c r="M7" s="315">
        <f>'4.sz.m.ÖNK kiadás'!H8+'5.1 sz. m Köz Hiv'!G36+'5.2 sz. m ÁMK'!G39+'üres lap'!G28</f>
        <v>43551332</v>
      </c>
      <c r="N7" s="315">
        <f>'4.sz.m.ÖNK kiadás'!I8+'5.1 sz. m Köz Hiv'!H36+'5.2 sz. m ÁMK'!H39+'üres lap'!H28</f>
        <v>43833653</v>
      </c>
      <c r="O7" s="315">
        <f>'4.sz.m.ÖNK kiadás'!J8+'5.1 sz. m Köz Hiv'!I36+'5.2 sz. m ÁMK'!I39+'üres lap'!I28</f>
        <v>40871360</v>
      </c>
      <c r="P7" s="901">
        <f aca="true" t="shared" si="1" ref="P7:P19">+O7/N7</f>
        <v>0.9324196639508918</v>
      </c>
    </row>
    <row r="8" spans="1:16" ht="25.5">
      <c r="A8" s="250" t="s">
        <v>328</v>
      </c>
      <c r="B8" s="315">
        <f>'3.sz.m Önk  bev.'!E32+'5.1 sz. m Köz Hiv'!D15+'5.2 sz. m ÁMK'!D18</f>
        <v>340241503</v>
      </c>
      <c r="C8" s="315">
        <f>'3.sz.m Önk  bev.'!F32+'5.1 sz. m Köz Hiv'!E15+'5.2 sz. m ÁMK'!E18</f>
        <v>346150839</v>
      </c>
      <c r="D8" s="315">
        <f>'3.sz.m Önk  bev.'!G32+'5.1 sz. m Köz Hiv'!F15+'5.2 sz. m ÁMK'!F18</f>
        <v>352570336</v>
      </c>
      <c r="E8" s="315">
        <f>'3.sz.m Önk  bev.'!H32+'5.1 sz. m Köz Hiv'!G15+'5.2 sz. m ÁMK'!G18</f>
        <v>369807385</v>
      </c>
      <c r="F8" s="315">
        <f>'3.sz.m Önk  bev.'!I32+'5.1 sz. m Köz Hiv'!H15+'5.2 sz. m ÁMK'!H18</f>
        <v>389603362</v>
      </c>
      <c r="G8" s="315">
        <f>'3.sz.m Önk  bev.'!J32+'5.1 sz. m Köz Hiv'!I15+'5.2 sz. m ÁMK'!I18</f>
        <v>378391175</v>
      </c>
      <c r="H8" s="901">
        <f t="shared" si="0"/>
        <v>0.9712215342741318</v>
      </c>
      <c r="I8" s="301" t="s">
        <v>175</v>
      </c>
      <c r="J8" s="315">
        <f>'4.sz.m.ÖNK kiadás'!E9+'5.1 sz. m Köz Hiv'!D37+'5.2 sz. m ÁMK'!D40+'üres lap'!D29</f>
        <v>178212404</v>
      </c>
      <c r="K8" s="315">
        <f>'4.sz.m.ÖNK kiadás'!F9+'5.1 sz. m Köz Hiv'!E37+'5.2 sz. m ÁMK'!E40+'üres lap'!E29</f>
        <v>178569404</v>
      </c>
      <c r="L8" s="315">
        <f>'4.sz.m.ÖNK kiadás'!G9+'5.1 sz. m Köz Hiv'!F37+'5.2 sz. m ÁMK'!F40+'üres lap'!F29</f>
        <v>190390147</v>
      </c>
      <c r="M8" s="315">
        <f>'4.sz.m.ÖNK kiadás'!H9+'5.1 sz. m Köz Hiv'!G37+'5.2 sz. m ÁMK'!G40+'üres lap'!G29</f>
        <v>195932191</v>
      </c>
      <c r="N8" s="315">
        <f>'4.sz.m.ÖNK kiadás'!I9+'5.1 sz. m Köz Hiv'!H37+'5.2 sz. m ÁMK'!H40+'üres lap'!H29</f>
        <v>314973356</v>
      </c>
      <c r="O8" s="315">
        <f>'4.sz.m.ÖNK kiadás'!J9+'5.1 sz. m Köz Hiv'!I37+'5.2 sz. m ÁMK'!I40+'üres lap'!I29</f>
        <v>163105610</v>
      </c>
      <c r="P8" s="901">
        <f t="shared" si="1"/>
        <v>0.5178393882941642</v>
      </c>
    </row>
    <row r="9" spans="1:16" ht="12.75">
      <c r="A9" s="250" t="s">
        <v>329</v>
      </c>
      <c r="B9" s="315">
        <f>'3.sz.m Önk  bev.'!E50+'5.1 sz. m Köz Hiv'!D21+'5.2 sz. m ÁMK'!D24</f>
        <v>60000</v>
      </c>
      <c r="C9" s="315">
        <f>'3.sz.m Önk  bev.'!F50+'5.1 sz. m Köz Hiv'!E21+'5.2 sz. m ÁMK'!E24</f>
        <v>75000</v>
      </c>
      <c r="D9" s="315">
        <f>'3.sz.m Önk  bev.'!G50+'5.1 sz. m Köz Hiv'!F21+'5.2 sz. m ÁMK'!F24</f>
        <v>120000</v>
      </c>
      <c r="E9" s="315">
        <f>'3.sz.m Önk  bev.'!H50+'5.1 sz. m Köz Hiv'!G21+'5.2 sz. m ÁMK'!G24</f>
        <v>160000</v>
      </c>
      <c r="F9" s="315">
        <f>'3.sz.m Önk  bev.'!I50+'5.1 sz. m Köz Hiv'!H21+'5.2 sz. m ÁMK'!H24</f>
        <v>160000</v>
      </c>
      <c r="G9" s="315">
        <f>'3.sz.m Önk  bev.'!J50+'5.1 sz. m Köz Hiv'!I21+'5.2 sz. m ÁMK'!I24</f>
        <v>160000</v>
      </c>
      <c r="H9" s="901">
        <f t="shared" si="0"/>
        <v>1</v>
      </c>
      <c r="I9" s="301" t="s">
        <v>176</v>
      </c>
      <c r="J9" s="315">
        <f>'4.sz.m.ÖNK kiadás'!E10+'5.1 sz. m Köz Hiv'!D38+'5.2 sz. m ÁMK'!D41+'üres lap'!D30</f>
        <v>2250000</v>
      </c>
      <c r="K9" s="315">
        <f>'4.sz.m.ÖNK kiadás'!F10+'5.1 sz. m Köz Hiv'!E38+'5.2 sz. m ÁMK'!E41+'üres lap'!E30</f>
        <v>2250000</v>
      </c>
      <c r="L9" s="315">
        <f>'4.sz.m.ÖNK kiadás'!G10+'5.1 sz. m Köz Hiv'!F38+'5.2 sz. m ÁMK'!F41+'üres lap'!F30</f>
        <v>2250000</v>
      </c>
      <c r="M9" s="315">
        <f>'4.sz.m.ÖNK kiadás'!H10+'5.1 sz. m Köz Hiv'!G38+'5.2 sz. m ÁMK'!G41+'üres lap'!G30</f>
        <v>3370000</v>
      </c>
      <c r="N9" s="315">
        <f>'4.sz.m.ÖNK kiadás'!I10+'5.1 sz. m Köz Hiv'!H38+'5.2 sz. m ÁMK'!H41+'üres lap'!H30</f>
        <v>3370000</v>
      </c>
      <c r="O9" s="315">
        <f>'4.sz.m.ÖNK kiadás'!J10+'5.1 sz. m Köz Hiv'!I38+'5.2 sz. m ÁMK'!I41+'üres lap'!I30</f>
        <v>3300634</v>
      </c>
      <c r="P9" s="901">
        <f t="shared" si="1"/>
        <v>0.9794166172106825</v>
      </c>
    </row>
    <row r="10" spans="1:16" ht="12.75">
      <c r="A10" s="250"/>
      <c r="B10" s="315"/>
      <c r="C10" s="315"/>
      <c r="D10" s="315"/>
      <c r="E10" s="315"/>
      <c r="F10" s="315"/>
      <c r="G10" s="315"/>
      <c r="H10" s="901"/>
      <c r="I10" s="301" t="s">
        <v>177</v>
      </c>
      <c r="J10" s="315">
        <f>'4.sz.m.ÖNK kiadás'!E11+'5.1 sz. m Köz Hiv'!D39+'5.2 sz. m ÁMK'!D42+'üres lap'!D31</f>
        <v>153992396</v>
      </c>
      <c r="K10" s="315">
        <f>'4.sz.m.ÖNK kiadás'!F11+'5.1 sz. m Köz Hiv'!E39+'5.2 sz. m ÁMK'!E42+'üres lap'!E31</f>
        <v>154179573</v>
      </c>
      <c r="L10" s="315">
        <f>'4.sz.m.ÖNK kiadás'!G11+'5.1 sz. m Köz Hiv'!F39+'5.2 sz. m ÁMK'!F42+'üres lap'!F31</f>
        <v>154389573</v>
      </c>
      <c r="M10" s="315">
        <f>'4.sz.m.ÖNK kiadás'!H11+'5.1 sz. m Köz Hiv'!G39+'5.2 sz. m ÁMK'!G42+'üres lap'!G31</f>
        <v>156389573</v>
      </c>
      <c r="N10" s="315">
        <f>'4.sz.m.ÖNK kiadás'!I11+'5.1 sz. m Köz Hiv'!H39+'5.2 sz. m ÁMK'!H42+'üres lap'!H31</f>
        <v>150627072</v>
      </c>
      <c r="O10" s="315">
        <f>'4.sz.m.ÖNK kiadás'!J11+'5.1 sz. m Köz Hiv'!I39+'5.2 sz. m ÁMK'!I42+'üres lap'!I31</f>
        <v>150371072</v>
      </c>
      <c r="P10" s="901">
        <f t="shared" si="1"/>
        <v>0.998300438316958</v>
      </c>
    </row>
    <row r="11" spans="1:16" ht="12.75">
      <c r="A11" s="250"/>
      <c r="B11" s="315"/>
      <c r="C11" s="315"/>
      <c r="D11" s="315"/>
      <c r="E11" s="315"/>
      <c r="F11" s="315"/>
      <c r="G11" s="315"/>
      <c r="H11" s="901"/>
      <c r="I11" s="301" t="s">
        <v>178</v>
      </c>
      <c r="J11" s="315">
        <f>'4.sz.m.ÖNK kiadás'!E25</f>
        <v>86768299</v>
      </c>
      <c r="K11" s="315">
        <f>'4.sz.m.ÖNK kiadás'!F25</f>
        <v>79038902</v>
      </c>
      <c r="L11" s="315">
        <f>'4.sz.m.ÖNK kiadás'!G25</f>
        <v>67762298</v>
      </c>
      <c r="M11" s="315">
        <f>'4.sz.m.ÖNK kiadás'!H25</f>
        <v>66635603</v>
      </c>
      <c r="N11" s="315">
        <f>'4.sz.m.ÖNK kiadás'!I25</f>
        <v>0</v>
      </c>
      <c r="O11" s="315">
        <f>'4.sz.m.ÖNK kiadás'!J25</f>
        <v>0</v>
      </c>
      <c r="P11" s="901"/>
    </row>
    <row r="12" spans="1:16" ht="12.75" hidden="1">
      <c r="A12" s="251"/>
      <c r="B12" s="316"/>
      <c r="C12" s="316"/>
      <c r="D12" s="316"/>
      <c r="E12" s="316"/>
      <c r="F12" s="316"/>
      <c r="G12" s="316"/>
      <c r="H12" s="902" t="e">
        <f t="shared" si="0"/>
        <v>#DIV/0!</v>
      </c>
      <c r="I12" s="302"/>
      <c r="J12" s="316"/>
      <c r="K12" s="316"/>
      <c r="L12" s="316"/>
      <c r="M12" s="316"/>
      <c r="N12" s="316"/>
      <c r="O12" s="316"/>
      <c r="P12" s="902" t="e">
        <f t="shared" si="1"/>
        <v>#DIV/0!</v>
      </c>
    </row>
    <row r="13" spans="1:16" ht="16.5" customHeight="1" hidden="1" thickBot="1">
      <c r="A13" s="252"/>
      <c r="B13" s="317"/>
      <c r="C13" s="317"/>
      <c r="D13" s="317"/>
      <c r="E13" s="317"/>
      <c r="F13" s="317"/>
      <c r="G13" s="317"/>
      <c r="H13" s="903" t="e">
        <f t="shared" si="0"/>
        <v>#DIV/0!</v>
      </c>
      <c r="I13" s="303"/>
      <c r="J13" s="317"/>
      <c r="K13" s="317"/>
      <c r="L13" s="317"/>
      <c r="M13" s="317"/>
      <c r="N13" s="317"/>
      <c r="O13" s="317"/>
      <c r="P13" s="903" t="e">
        <f t="shared" si="1"/>
        <v>#DIV/0!</v>
      </c>
    </row>
    <row r="14" spans="1:16" ht="24" customHeight="1" thickBot="1">
      <c r="A14" s="253" t="s">
        <v>180</v>
      </c>
      <c r="B14" s="318">
        <f aca="true" t="shared" si="2" ref="B14:G14">SUM(B6:B9)</f>
        <v>606874557</v>
      </c>
      <c r="C14" s="318">
        <f t="shared" si="2"/>
        <v>607147059</v>
      </c>
      <c r="D14" s="318">
        <f t="shared" si="2"/>
        <v>610411827</v>
      </c>
      <c r="E14" s="318">
        <f t="shared" si="2"/>
        <v>640508455</v>
      </c>
      <c r="F14" s="318">
        <f t="shared" si="2"/>
        <v>692388611</v>
      </c>
      <c r="G14" s="318">
        <f t="shared" si="2"/>
        <v>676507763</v>
      </c>
      <c r="H14" s="904">
        <f t="shared" si="0"/>
        <v>0.9770636781892417</v>
      </c>
      <c r="I14" s="463" t="s">
        <v>181</v>
      </c>
      <c r="J14" s="318">
        <f aca="true" t="shared" si="3" ref="J14:O14">SUM(J6:J13)</f>
        <v>676699385</v>
      </c>
      <c r="K14" s="318">
        <f t="shared" si="3"/>
        <v>676471798</v>
      </c>
      <c r="L14" s="318">
        <f t="shared" si="3"/>
        <v>679699066</v>
      </c>
      <c r="M14" s="318">
        <f t="shared" si="3"/>
        <v>687874471</v>
      </c>
      <c r="N14" s="318">
        <f t="shared" si="3"/>
        <v>736399485</v>
      </c>
      <c r="O14" s="318">
        <f t="shared" si="3"/>
        <v>575930728</v>
      </c>
      <c r="P14" s="904">
        <f t="shared" si="1"/>
        <v>0.7820900743840146</v>
      </c>
    </row>
    <row r="15" spans="1:16" ht="18.75" customHeight="1">
      <c r="A15" s="254" t="s">
        <v>441</v>
      </c>
      <c r="B15" s="248">
        <f>'3.sz.m Önk  bev.'!E59+'5.1 sz. m Köz Hiv'!D26+'5.2 sz. m ÁMK'!D29-B27</f>
        <v>120716004</v>
      </c>
      <c r="C15" s="248">
        <f>'3.sz.m Önk  bev.'!F59+'5.1 sz. m Köz Hiv'!E26+'5.2 sz. m ÁMK'!E29-C27</f>
        <v>120716004</v>
      </c>
      <c r="D15" s="248">
        <f>'3.sz.m Önk  bev.'!G59+'5.1 sz. m Köz Hiv'!F26+'5.2 sz. m ÁMK'!F29-D27</f>
        <v>120716004</v>
      </c>
      <c r="E15" s="248">
        <f>'3.sz.m Önk  bev.'!H59+'5.1 sz. m Köz Hiv'!G26+'5.2 sz. m ÁMK'!G29-E27</f>
        <v>120716004</v>
      </c>
      <c r="F15" s="248">
        <f>'3.sz.m Önk  bev.'!I59+'5.1 sz. m Köz Hiv'!H26+'5.2 sz. m ÁMK'!H29-F27</f>
        <v>120716004</v>
      </c>
      <c r="G15" s="248">
        <f>'3.sz.m Önk  bev.'!J59+'5.1 sz. m Köz Hiv'!I26+'5.2 sz. m ÁMK'!I29-G27</f>
        <v>120716004</v>
      </c>
      <c r="H15" s="905">
        <f t="shared" si="0"/>
        <v>1</v>
      </c>
      <c r="I15" s="300" t="s">
        <v>447</v>
      </c>
      <c r="J15" s="314">
        <f>'4.sz.m.ÖNK kiadás'!E34</f>
        <v>0</v>
      </c>
      <c r="K15" s="314">
        <f>'4.sz.m.ÖNK kiadás'!F34</f>
        <v>0</v>
      </c>
      <c r="L15" s="314">
        <f>'4.sz.m.ÖNK kiadás'!G34</f>
        <v>0</v>
      </c>
      <c r="M15" s="314">
        <f>'4.sz.m.ÖNK kiadás'!H34</f>
        <v>0</v>
      </c>
      <c r="N15" s="314">
        <f>'4.sz.m.ÖNK kiadás'!I34</f>
        <v>0</v>
      </c>
      <c r="O15" s="314">
        <f>'4.sz.m.ÖNK kiadás'!J34</f>
        <v>0</v>
      </c>
      <c r="P15" s="905"/>
    </row>
    <row r="16" spans="1:16" ht="18.75" customHeight="1">
      <c r="A16" s="254" t="s">
        <v>495</v>
      </c>
      <c r="B16" s="684">
        <f>'3.sz.m Önk  bev.'!E58</f>
        <v>0</v>
      </c>
      <c r="C16" s="684">
        <f>'3.sz.m Önk  bev.'!F58</f>
        <v>0</v>
      </c>
      <c r="D16" s="684">
        <f>'3.sz.m Önk  bev.'!G58</f>
        <v>0</v>
      </c>
      <c r="E16" s="684">
        <f>'3.sz.m Önk  bev.'!H58</f>
        <v>0</v>
      </c>
      <c r="F16" s="684">
        <f>'3.sz.m Önk  bev.'!I58</f>
        <v>0</v>
      </c>
      <c r="G16" s="684">
        <f>'3.sz.m Önk  bev.'!J58</f>
        <v>0</v>
      </c>
      <c r="H16" s="902"/>
      <c r="I16" s="302" t="s">
        <v>418</v>
      </c>
      <c r="J16" s="316">
        <f>'4.sz.m.ÖNK kiadás'!E36</f>
        <v>10312557</v>
      </c>
      <c r="K16" s="316">
        <f>'4.sz.m.ÖNK kiadás'!F36</f>
        <v>10312557</v>
      </c>
      <c r="L16" s="316">
        <f>'4.sz.m.ÖNK kiadás'!G36</f>
        <v>10312557</v>
      </c>
      <c r="M16" s="316">
        <f>'4.sz.m.ÖNK kiadás'!H36</f>
        <v>10312557</v>
      </c>
      <c r="N16" s="316">
        <f>'4.sz.m.ÖNK kiadás'!I36</f>
        <v>10312557</v>
      </c>
      <c r="O16" s="316">
        <f>'4.sz.m.ÖNK kiadás'!J36</f>
        <v>10312557</v>
      </c>
      <c r="P16" s="902">
        <f t="shared" si="1"/>
        <v>1</v>
      </c>
    </row>
    <row r="17" spans="1:16" ht="15" customHeight="1" thickBot="1">
      <c r="A17" s="255" t="s">
        <v>431</v>
      </c>
      <c r="B17" s="319"/>
      <c r="C17" s="319"/>
      <c r="D17" s="319"/>
      <c r="E17" s="319"/>
      <c r="F17" s="319"/>
      <c r="G17" s="319"/>
      <c r="H17" s="902"/>
      <c r="I17" s="302"/>
      <c r="J17" s="316"/>
      <c r="K17" s="316"/>
      <c r="L17" s="316"/>
      <c r="M17" s="316"/>
      <c r="N17" s="316"/>
      <c r="O17" s="316"/>
      <c r="P17" s="902"/>
    </row>
    <row r="18" spans="1:16" ht="25.5" customHeight="1" thickBot="1">
      <c r="A18" s="256" t="s">
        <v>185</v>
      </c>
      <c r="B18" s="320">
        <f aca="true" t="shared" si="4" ref="B18:G18">SUM(B15:B17)</f>
        <v>120716004</v>
      </c>
      <c r="C18" s="320">
        <f t="shared" si="4"/>
        <v>120716004</v>
      </c>
      <c r="D18" s="320">
        <f t="shared" si="4"/>
        <v>120716004</v>
      </c>
      <c r="E18" s="320">
        <f t="shared" si="4"/>
        <v>120716004</v>
      </c>
      <c r="F18" s="320">
        <f t="shared" si="4"/>
        <v>120716004</v>
      </c>
      <c r="G18" s="320">
        <f t="shared" si="4"/>
        <v>120716004</v>
      </c>
      <c r="H18" s="906">
        <f t="shared" si="0"/>
        <v>1</v>
      </c>
      <c r="I18" s="304" t="s">
        <v>192</v>
      </c>
      <c r="J18" s="320">
        <f aca="true" t="shared" si="5" ref="J18:O18">SUM(J15:J17)</f>
        <v>10312557</v>
      </c>
      <c r="K18" s="320">
        <f t="shared" si="5"/>
        <v>10312557</v>
      </c>
      <c r="L18" s="320">
        <f t="shared" si="5"/>
        <v>10312557</v>
      </c>
      <c r="M18" s="320">
        <f t="shared" si="5"/>
        <v>10312557</v>
      </c>
      <c r="N18" s="320">
        <f t="shared" si="5"/>
        <v>10312557</v>
      </c>
      <c r="O18" s="320">
        <f t="shared" si="5"/>
        <v>10312557</v>
      </c>
      <c r="P18" s="906">
        <f t="shared" si="1"/>
        <v>1</v>
      </c>
    </row>
    <row r="19" spans="1:16" ht="22.5" customHeight="1" thickBot="1">
      <c r="A19" s="257" t="s">
        <v>166</v>
      </c>
      <c r="B19" s="321">
        <f aca="true" t="shared" si="6" ref="B19:G19">B14+B18</f>
        <v>727590561</v>
      </c>
      <c r="C19" s="321">
        <f t="shared" si="6"/>
        <v>727863063</v>
      </c>
      <c r="D19" s="321">
        <f t="shared" si="6"/>
        <v>731127831</v>
      </c>
      <c r="E19" s="321">
        <f t="shared" si="6"/>
        <v>761224459</v>
      </c>
      <c r="F19" s="321">
        <f t="shared" si="6"/>
        <v>813104615</v>
      </c>
      <c r="G19" s="321">
        <f t="shared" si="6"/>
        <v>797223767</v>
      </c>
      <c r="H19" s="907">
        <f t="shared" si="0"/>
        <v>0.980468874844598</v>
      </c>
      <c r="I19" s="305" t="s">
        <v>167</v>
      </c>
      <c r="J19" s="321">
        <f aca="true" t="shared" si="7" ref="J19:O19">J14+J18</f>
        <v>687011942</v>
      </c>
      <c r="K19" s="321">
        <f t="shared" si="7"/>
        <v>686784355</v>
      </c>
      <c r="L19" s="321">
        <f t="shared" si="7"/>
        <v>690011623</v>
      </c>
      <c r="M19" s="321">
        <f t="shared" si="7"/>
        <v>698187028</v>
      </c>
      <c r="N19" s="321">
        <f t="shared" si="7"/>
        <v>746712042</v>
      </c>
      <c r="O19" s="321">
        <f t="shared" si="7"/>
        <v>586243285</v>
      </c>
      <c r="P19" s="907">
        <f t="shared" si="1"/>
        <v>0.7850995457764427</v>
      </c>
    </row>
    <row r="20" spans="1:13" ht="22.5" customHeight="1" thickBot="1">
      <c r="A20" s="1588" t="s">
        <v>197</v>
      </c>
      <c r="B20" s="1589"/>
      <c r="C20" s="1589"/>
      <c r="D20" s="1589"/>
      <c r="E20" s="1589"/>
      <c r="F20" s="1589"/>
      <c r="G20" s="1589"/>
      <c r="H20" s="1589"/>
      <c r="I20" s="1588"/>
      <c r="J20" s="1589"/>
      <c r="K20" s="19"/>
      <c r="L20" s="19"/>
      <c r="M20" s="19"/>
    </row>
    <row r="21" spans="1:17" ht="25.5">
      <c r="A21" s="249" t="s">
        <v>168</v>
      </c>
      <c r="B21" s="322">
        <f>'3.sz.m Önk  bev.'!E41</f>
        <v>20360661</v>
      </c>
      <c r="C21" s="322">
        <f>'3.sz.m Önk  bev.'!F41</f>
        <v>20360661</v>
      </c>
      <c r="D21" s="322">
        <f>'3.sz.m Önk  bev.'!G41</f>
        <v>20360661</v>
      </c>
      <c r="E21" s="322">
        <f>'3.sz.m Önk  bev.'!H41</f>
        <v>111544661</v>
      </c>
      <c r="F21" s="322">
        <f>'3.sz.m Önk  bev.'!I41+'5.1 sz. m Köz Hiv'!H18+'5.2 sz. m ÁMK'!H21</f>
        <v>146373972</v>
      </c>
      <c r="G21" s="322">
        <f>'3.sz.m Önk  bev.'!J41+'5.1 sz. m Köz Hiv'!I18+'5.2 sz. m ÁMK'!I21</f>
        <v>145299477</v>
      </c>
      <c r="H21" s="900">
        <f t="shared" si="0"/>
        <v>0.9926592481892887</v>
      </c>
      <c r="I21" s="306" t="s">
        <v>170</v>
      </c>
      <c r="J21" s="322">
        <f>'4.sz.m.ÖNK kiadás'!E18+'5.1 sz. m Köz Hiv'!D41+'5.2 sz. m ÁMK'!D44</f>
        <v>47648344</v>
      </c>
      <c r="K21" s="322">
        <f>'4.sz.m.ÖNK kiadás'!F18+'5.1 sz. m Köz Hiv'!E41+'5.2 sz. m ÁMK'!E44</f>
        <v>48148344</v>
      </c>
      <c r="L21" s="322">
        <f>'4.sz.m.ÖNK kiadás'!G18+'5.1 sz. m Köz Hiv'!F41+'5.2 sz. m ÁMK'!F44</f>
        <v>48185844</v>
      </c>
      <c r="M21" s="322">
        <f>'4.sz.m.ÖNK kiadás'!H18+'5.1 sz. m Köz Hiv'!G41+'5.2 sz. m ÁMK'!G44</f>
        <v>84350467</v>
      </c>
      <c r="N21" s="322">
        <f>'4.sz.m.ÖNK kiadás'!I18+'5.1 sz. m Köz Hiv'!H41+'5.2 sz. m ÁMK'!H44</f>
        <v>91838718</v>
      </c>
      <c r="O21" s="322">
        <f>'4.sz.m.ÖNK kiadás'!J18+'5.1 sz. m Köz Hiv'!I41+'5.2 sz. m ÁMK'!I44</f>
        <v>50787241</v>
      </c>
      <c r="P21" s="900">
        <f aca="true" t="shared" si="8" ref="P21:P32">+O21/N21</f>
        <v>0.5530046815331199</v>
      </c>
      <c r="Q21" s="19"/>
    </row>
    <row r="22" spans="1:16" ht="25.5">
      <c r="A22" s="250" t="s">
        <v>449</v>
      </c>
      <c r="B22" s="315">
        <v>0</v>
      </c>
      <c r="C22" s="315">
        <f>+'3.sz.m Önk  bev.'!F51</f>
        <v>0</v>
      </c>
      <c r="D22" s="315">
        <f>+'3.sz.m Önk  bev.'!G51</f>
        <v>0</v>
      </c>
      <c r="E22" s="315">
        <f>+'3.sz.m Önk  bev.'!H51</f>
        <v>100000</v>
      </c>
      <c r="F22" s="315">
        <f>'3.sz.m Önk  bev.'!I51</f>
        <v>100000</v>
      </c>
      <c r="G22" s="315">
        <f>'3.sz.m Önk  bev.'!J51</f>
        <v>100000</v>
      </c>
      <c r="H22" s="901">
        <f t="shared" si="0"/>
        <v>1</v>
      </c>
      <c r="I22" s="301" t="s">
        <v>171</v>
      </c>
      <c r="J22" s="315">
        <f>'4.sz.m.ÖNK kiadás'!E19</f>
        <v>75804348</v>
      </c>
      <c r="K22" s="315">
        <f>'4.sz.m.ÖNK kiadás'!F19</f>
        <v>75804348</v>
      </c>
      <c r="L22" s="315">
        <f>'4.sz.m.ÖNK kiadás'!G19</f>
        <v>75804348</v>
      </c>
      <c r="M22" s="315">
        <f>'4.sz.m.ÖNK kiadás'!H19</f>
        <v>151989948</v>
      </c>
      <c r="N22" s="315">
        <f>'4.sz.m.ÖNK kiadás'!I19+'5.2 sz. m ÁMK'!H46</f>
        <v>193651237</v>
      </c>
      <c r="O22" s="315">
        <f>'4.sz.m.ÖNK kiadás'!J19+'5.2 sz. m ÁMK'!I46</f>
        <v>74006575</v>
      </c>
      <c r="P22" s="901">
        <f t="shared" si="8"/>
        <v>0.3821642254730343</v>
      </c>
    </row>
    <row r="23" spans="1:16" ht="12.75">
      <c r="A23" s="250" t="s">
        <v>169</v>
      </c>
      <c r="B23" s="315">
        <f>'3.sz.m Önk  bev.'!E53</f>
        <v>0</v>
      </c>
      <c r="C23" s="315">
        <f>'3.sz.m Önk  bev.'!F53</f>
        <v>0</v>
      </c>
      <c r="D23" s="315">
        <f>'3.sz.m Önk  bev.'!G53</f>
        <v>0</v>
      </c>
      <c r="E23" s="315">
        <f>'3.sz.m Önk  bev.'!H53</f>
        <v>0</v>
      </c>
      <c r="F23" s="315">
        <f>'3.sz.m Önk  bev.'!I52</f>
        <v>472441</v>
      </c>
      <c r="G23" s="315">
        <f>'3.sz.m Önk  bev.'!J52</f>
        <v>472441</v>
      </c>
      <c r="H23" s="901">
        <f t="shared" si="0"/>
        <v>1</v>
      </c>
      <c r="I23" s="301" t="s">
        <v>172</v>
      </c>
      <c r="J23" s="315">
        <f>'4.sz.m.ÖNK kiadás'!E20</f>
        <v>6700000</v>
      </c>
      <c r="K23" s="315">
        <f>'4.sz.m.ÖNK kiadás'!F20</f>
        <v>6700089</v>
      </c>
      <c r="L23" s="315">
        <f>'4.sz.m.ÖNK kiadás'!G20</f>
        <v>6700089</v>
      </c>
      <c r="M23" s="315">
        <f>'4.sz.m.ÖNK kiadás'!H20</f>
        <v>7555089</v>
      </c>
      <c r="N23" s="315">
        <f>'4.sz.m.ÖNK kiadás'!I20</f>
        <v>7975089</v>
      </c>
      <c r="O23" s="315">
        <f>'4.sz.m.ÖNK kiadás'!J20</f>
        <v>7905089</v>
      </c>
      <c r="P23" s="901">
        <f t="shared" si="8"/>
        <v>0.9912226684868345</v>
      </c>
    </row>
    <row r="24" spans="1:16" ht="13.5" thickBot="1">
      <c r="A24" s="250"/>
      <c r="B24" s="315"/>
      <c r="C24" s="315"/>
      <c r="D24" s="315"/>
      <c r="E24" s="315"/>
      <c r="F24" s="315"/>
      <c r="G24" s="315"/>
      <c r="H24" s="901"/>
      <c r="I24" s="301" t="s">
        <v>179</v>
      </c>
      <c r="J24" s="315"/>
      <c r="K24" s="315"/>
      <c r="L24" s="315"/>
      <c r="M24" s="315"/>
      <c r="N24" s="315"/>
      <c r="O24" s="315"/>
      <c r="P24" s="901"/>
    </row>
    <row r="25" spans="1:16" ht="13.5" hidden="1" thickBot="1">
      <c r="A25" s="259"/>
      <c r="B25" s="316"/>
      <c r="C25" s="316"/>
      <c r="D25" s="316"/>
      <c r="E25" s="316"/>
      <c r="F25" s="316"/>
      <c r="G25" s="316"/>
      <c r="H25" s="902" t="e">
        <f t="shared" si="0"/>
        <v>#DIV/0!</v>
      </c>
      <c r="I25" s="302"/>
      <c r="J25" s="316"/>
      <c r="K25" s="316"/>
      <c r="L25" s="316"/>
      <c r="M25" s="316"/>
      <c r="N25" s="316"/>
      <c r="O25" s="316"/>
      <c r="P25" s="902" t="e">
        <f t="shared" si="8"/>
        <v>#DIV/0!</v>
      </c>
    </row>
    <row r="26" spans="1:16" ht="13.5" thickBot="1">
      <c r="A26" s="260" t="s">
        <v>183</v>
      </c>
      <c r="B26" s="321">
        <f aca="true" t="shared" si="9" ref="B26:G26">SUM(B21:B24)</f>
        <v>20360661</v>
      </c>
      <c r="C26" s="321">
        <f t="shared" si="9"/>
        <v>20360661</v>
      </c>
      <c r="D26" s="321">
        <f t="shared" si="9"/>
        <v>20360661</v>
      </c>
      <c r="E26" s="321">
        <f t="shared" si="9"/>
        <v>111644661</v>
      </c>
      <c r="F26" s="321">
        <f t="shared" si="9"/>
        <v>146946413</v>
      </c>
      <c r="G26" s="321">
        <f t="shared" si="9"/>
        <v>145871918</v>
      </c>
      <c r="H26" s="908">
        <f t="shared" si="0"/>
        <v>0.9926878446498725</v>
      </c>
      <c r="I26" s="307" t="s">
        <v>182</v>
      </c>
      <c r="J26" s="326">
        <f aca="true" t="shared" si="10" ref="J26:O26">SUM(J21:J25)</f>
        <v>130152692</v>
      </c>
      <c r="K26" s="326">
        <f t="shared" si="10"/>
        <v>130652781</v>
      </c>
      <c r="L26" s="326">
        <f t="shared" si="10"/>
        <v>130690281</v>
      </c>
      <c r="M26" s="326">
        <f t="shared" si="10"/>
        <v>243895504</v>
      </c>
      <c r="N26" s="326">
        <f t="shared" si="10"/>
        <v>293465044</v>
      </c>
      <c r="O26" s="326">
        <f t="shared" si="10"/>
        <v>132698905</v>
      </c>
      <c r="P26" s="908">
        <f t="shared" si="8"/>
        <v>0.4521795958771839</v>
      </c>
    </row>
    <row r="27" spans="1:16" ht="15" customHeight="1">
      <c r="A27" s="254" t="s">
        <v>441</v>
      </c>
      <c r="B27" s="314">
        <f aca="true" t="shared" si="11" ref="B27:G27">7415444+32313072+9563541+22189156</f>
        <v>71481213</v>
      </c>
      <c r="C27" s="314">
        <f t="shared" si="11"/>
        <v>71481213</v>
      </c>
      <c r="D27" s="314">
        <f t="shared" si="11"/>
        <v>71481213</v>
      </c>
      <c r="E27" s="314">
        <f t="shared" si="11"/>
        <v>71481213</v>
      </c>
      <c r="F27" s="314">
        <f t="shared" si="11"/>
        <v>71481213</v>
      </c>
      <c r="G27" s="314">
        <f t="shared" si="11"/>
        <v>71481213</v>
      </c>
      <c r="H27" s="905">
        <f t="shared" si="0"/>
        <v>1</v>
      </c>
      <c r="I27" s="300" t="s">
        <v>184</v>
      </c>
      <c r="J27" s="314">
        <f>'4.sz.m.ÖNK kiadás'!E33</f>
        <v>2267801</v>
      </c>
      <c r="K27" s="314">
        <f>'4.sz.m.ÖNK kiadás'!F33</f>
        <v>2267801</v>
      </c>
      <c r="L27" s="314">
        <f>'4.sz.m.ÖNK kiadás'!G33</f>
        <v>2267801</v>
      </c>
      <c r="M27" s="314">
        <f>'4.sz.m.ÖNK kiadás'!H33</f>
        <v>2267801</v>
      </c>
      <c r="N27" s="314">
        <f>'4.sz.m.ÖNK kiadás'!I33</f>
        <v>2267801</v>
      </c>
      <c r="O27" s="314">
        <f>'4.sz.m.ÖNK kiadás'!J33</f>
        <v>2267801</v>
      </c>
      <c r="P27" s="905">
        <f t="shared" si="8"/>
        <v>1</v>
      </c>
    </row>
    <row r="28" spans="1:16" ht="13.5" thickBot="1">
      <c r="A28" s="255" t="s">
        <v>165</v>
      </c>
      <c r="B28" s="323">
        <f>'3.sz.m Önk  bev.'!E57</f>
        <v>0</v>
      </c>
      <c r="C28" s="323">
        <f>'3.sz.m Önk  bev.'!F57</f>
        <v>0</v>
      </c>
      <c r="D28" s="323">
        <f>'3.sz.m Önk  bev.'!G57</f>
        <v>0</v>
      </c>
      <c r="E28" s="323">
        <f>'3.sz.m Önk  bev.'!H57</f>
        <v>0</v>
      </c>
      <c r="F28" s="323">
        <f>'3.sz.m Önk  bev.'!I57</f>
        <v>10912646</v>
      </c>
      <c r="G28" s="323">
        <f>'3.sz.m Önk  bev.'!J57</f>
        <v>10912646</v>
      </c>
      <c r="H28" s="902">
        <f t="shared" si="0"/>
        <v>1</v>
      </c>
      <c r="I28" s="308" t="s">
        <v>446</v>
      </c>
      <c r="J28" s="316"/>
      <c r="K28" s="316"/>
      <c r="L28" s="316"/>
      <c r="M28" s="316"/>
      <c r="N28" s="316"/>
      <c r="O28" s="316"/>
      <c r="P28" s="902"/>
    </row>
    <row r="29" spans="1:16" ht="25.5" customHeight="1" thickBot="1">
      <c r="A29" s="256" t="s">
        <v>186</v>
      </c>
      <c r="B29" s="320">
        <f aca="true" t="shared" si="12" ref="B29:G29">SUM(B27:B28)</f>
        <v>71481213</v>
      </c>
      <c r="C29" s="320">
        <f t="shared" si="12"/>
        <v>71481213</v>
      </c>
      <c r="D29" s="320">
        <f t="shared" si="12"/>
        <v>71481213</v>
      </c>
      <c r="E29" s="320">
        <f t="shared" si="12"/>
        <v>71481213</v>
      </c>
      <c r="F29" s="320">
        <f t="shared" si="12"/>
        <v>82393859</v>
      </c>
      <c r="G29" s="320">
        <f t="shared" si="12"/>
        <v>82393859</v>
      </c>
      <c r="H29" s="907">
        <f t="shared" si="0"/>
        <v>1</v>
      </c>
      <c r="I29" s="307" t="s">
        <v>187</v>
      </c>
      <c r="J29" s="321">
        <f aca="true" t="shared" si="13" ref="J29:O29">SUM(J27:J28)</f>
        <v>2267801</v>
      </c>
      <c r="K29" s="321">
        <f t="shared" si="13"/>
        <v>2267801</v>
      </c>
      <c r="L29" s="321">
        <f t="shared" si="13"/>
        <v>2267801</v>
      </c>
      <c r="M29" s="321">
        <f t="shared" si="13"/>
        <v>2267801</v>
      </c>
      <c r="N29" s="321">
        <f t="shared" si="13"/>
        <v>2267801</v>
      </c>
      <c r="O29" s="321">
        <f t="shared" si="13"/>
        <v>2267801</v>
      </c>
      <c r="P29" s="907">
        <f t="shared" si="8"/>
        <v>1</v>
      </c>
    </row>
    <row r="30" spans="1:16" ht="26.25" customHeight="1" thickBot="1">
      <c r="A30" s="258" t="s">
        <v>188</v>
      </c>
      <c r="B30" s="321">
        <f aca="true" t="shared" si="14" ref="B30:G30">B26+B29</f>
        <v>91841874</v>
      </c>
      <c r="C30" s="321">
        <f t="shared" si="14"/>
        <v>91841874</v>
      </c>
      <c r="D30" s="321">
        <f t="shared" si="14"/>
        <v>91841874</v>
      </c>
      <c r="E30" s="321">
        <f t="shared" si="14"/>
        <v>183125874</v>
      </c>
      <c r="F30" s="321">
        <f t="shared" si="14"/>
        <v>229340272</v>
      </c>
      <c r="G30" s="321">
        <f t="shared" si="14"/>
        <v>228265777</v>
      </c>
      <c r="H30" s="907">
        <f t="shared" si="0"/>
        <v>0.9953148437880984</v>
      </c>
      <c r="I30" s="309" t="s">
        <v>189</v>
      </c>
      <c r="J30" s="321">
        <f aca="true" t="shared" si="15" ref="J30:O30">J29+J26</f>
        <v>132420493</v>
      </c>
      <c r="K30" s="321">
        <f t="shared" si="15"/>
        <v>132920582</v>
      </c>
      <c r="L30" s="321">
        <f t="shared" si="15"/>
        <v>132958082</v>
      </c>
      <c r="M30" s="321">
        <f t="shared" si="15"/>
        <v>246163305</v>
      </c>
      <c r="N30" s="321">
        <f t="shared" si="15"/>
        <v>295732845</v>
      </c>
      <c r="O30" s="321">
        <f t="shared" si="15"/>
        <v>134966706</v>
      </c>
      <c r="P30" s="907">
        <f t="shared" si="8"/>
        <v>0.45638050788711004</v>
      </c>
    </row>
    <row r="31" spans="1:16" ht="26.25" customHeight="1" hidden="1" thickBot="1">
      <c r="A31" s="258" t="s">
        <v>237</v>
      </c>
      <c r="B31" s="324"/>
      <c r="C31" s="324"/>
      <c r="D31" s="324"/>
      <c r="E31" s="324"/>
      <c r="F31" s="324"/>
      <c r="G31" s="324"/>
      <c r="H31" s="907" t="e">
        <f t="shared" si="0"/>
        <v>#DIV/0!</v>
      </c>
      <c r="I31" s="309" t="s">
        <v>236</v>
      </c>
      <c r="J31" s="321"/>
      <c r="K31" s="321"/>
      <c r="L31" s="321"/>
      <c r="M31" s="321"/>
      <c r="N31" s="321"/>
      <c r="O31" s="321"/>
      <c r="P31" s="907" t="e">
        <f t="shared" si="8"/>
        <v>#DIV/0!</v>
      </c>
    </row>
    <row r="32" spans="1:16" ht="29.25" customHeight="1" thickBot="1">
      <c r="A32" s="261" t="s">
        <v>190</v>
      </c>
      <c r="B32" s="325">
        <f aca="true" t="shared" si="16" ref="B32:G32">B19+B30</f>
        <v>819432435</v>
      </c>
      <c r="C32" s="325">
        <f t="shared" si="16"/>
        <v>819704937</v>
      </c>
      <c r="D32" s="325">
        <f t="shared" si="16"/>
        <v>822969705</v>
      </c>
      <c r="E32" s="325">
        <f t="shared" si="16"/>
        <v>944350333</v>
      </c>
      <c r="F32" s="325">
        <f t="shared" si="16"/>
        <v>1042444887</v>
      </c>
      <c r="G32" s="325">
        <f t="shared" si="16"/>
        <v>1025489544</v>
      </c>
      <c r="H32" s="909">
        <f t="shared" si="0"/>
        <v>0.9837350221470269</v>
      </c>
      <c r="I32" s="310" t="s">
        <v>191</v>
      </c>
      <c r="J32" s="327">
        <f aca="true" t="shared" si="17" ref="J32:O32">J30+J19</f>
        <v>819432435</v>
      </c>
      <c r="K32" s="327">
        <f t="shared" si="17"/>
        <v>819704937</v>
      </c>
      <c r="L32" s="327">
        <f t="shared" si="17"/>
        <v>822969705</v>
      </c>
      <c r="M32" s="327">
        <f t="shared" si="17"/>
        <v>944350333</v>
      </c>
      <c r="N32" s="327">
        <f t="shared" si="17"/>
        <v>1042444887</v>
      </c>
      <c r="O32" s="327">
        <f t="shared" si="17"/>
        <v>721209991</v>
      </c>
      <c r="P32" s="909">
        <f t="shared" si="8"/>
        <v>0.691844720036504</v>
      </c>
    </row>
    <row r="34" spans="2:13" ht="12.75">
      <c r="B34" s="19"/>
      <c r="C34" s="19"/>
      <c r="D34" s="19"/>
      <c r="E34" s="19"/>
      <c r="F34" s="19"/>
      <c r="G34" s="19"/>
      <c r="H34" s="19"/>
      <c r="J34" s="19"/>
      <c r="L34" s="19"/>
      <c r="M34" s="19"/>
    </row>
    <row r="35" spans="2:15" ht="12.75">
      <c r="B35" s="19"/>
      <c r="C35" s="19"/>
      <c r="E35" s="19"/>
      <c r="F35" s="19"/>
      <c r="M35" s="19"/>
      <c r="N35" s="19"/>
      <c r="O35" s="19"/>
    </row>
    <row r="36" spans="3:10" ht="12.75">
      <c r="C36" s="19"/>
      <c r="I36" s="19"/>
      <c r="J36" s="19"/>
    </row>
    <row r="37" ht="12.75">
      <c r="C37" s="19"/>
    </row>
    <row r="38" ht="12.75">
      <c r="C38" s="19"/>
    </row>
  </sheetData>
  <sheetProtection/>
  <mergeCells count="4">
    <mergeCell ref="A2:J2"/>
    <mergeCell ref="A20:J20"/>
    <mergeCell ref="A4:J4"/>
    <mergeCell ref="I1:N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60" zoomScalePageLayoutView="0" workbookViewId="0" topLeftCell="A6">
      <selection activeCell="A6" sqref="A6:C15"/>
    </sheetView>
  </sheetViews>
  <sheetFormatPr defaultColWidth="9.140625" defaultRowHeight="12.75"/>
  <cols>
    <col min="1" max="1" width="8.421875" style="1147" bestFit="1" customWidth="1"/>
    <col min="2" max="2" width="42.7109375" style="1147" bestFit="1" customWidth="1"/>
    <col min="3" max="3" width="17.421875" style="1147" customWidth="1"/>
    <col min="4" max="4" width="14.28125" style="1147" customWidth="1"/>
    <col min="5" max="5" width="16.8515625" style="1147" customWidth="1"/>
    <col min="6" max="6" width="11.8515625" style="1147" bestFit="1" customWidth="1"/>
    <col min="7" max="16384" width="9.140625" style="1147" customWidth="1"/>
  </cols>
  <sheetData>
    <row r="1" spans="2:3" ht="12.75" customHeight="1">
      <c r="B1" s="1834" t="s">
        <v>909</v>
      </c>
      <c r="C1" s="1834"/>
    </row>
    <row r="2" spans="1:3" ht="14.25">
      <c r="A2" s="1148"/>
      <c r="B2" s="1148"/>
      <c r="C2" s="1148"/>
    </row>
    <row r="3" spans="1:3" ht="14.25">
      <c r="A3" s="1835" t="s">
        <v>910</v>
      </c>
      <c r="B3" s="1835"/>
      <c r="C3" s="1835"/>
    </row>
    <row r="4" ht="13.5" thickBot="1">
      <c r="C4" s="1149"/>
    </row>
    <row r="5" spans="1:3" ht="15" thickBot="1">
      <c r="A5" s="1150" t="s">
        <v>5</v>
      </c>
      <c r="B5" s="1151" t="s">
        <v>3</v>
      </c>
      <c r="C5" s="1152" t="s">
        <v>911</v>
      </c>
    </row>
    <row r="6" spans="1:5" ht="25.5">
      <c r="A6" s="1153" t="s">
        <v>26</v>
      </c>
      <c r="B6" s="1154" t="s">
        <v>986</v>
      </c>
      <c r="C6" s="1155">
        <f>C7+C8+C9+C10</f>
        <v>192420918</v>
      </c>
      <c r="D6" s="1156"/>
      <c r="E6" s="1156"/>
    </row>
    <row r="7" spans="1:5" ht="12.75">
      <c r="A7" s="1157" t="s">
        <v>27</v>
      </c>
      <c r="B7" s="1158" t="s">
        <v>912</v>
      </c>
      <c r="C7" s="1159">
        <v>175553183</v>
      </c>
      <c r="E7" s="1160"/>
    </row>
    <row r="8" spans="1:3" ht="12.75">
      <c r="A8" s="1157" t="s">
        <v>9</v>
      </c>
      <c r="B8" s="1158" t="s">
        <v>913</v>
      </c>
      <c r="C8" s="1161">
        <v>0</v>
      </c>
    </row>
    <row r="9" spans="1:3" ht="12.75">
      <c r="A9" s="1157" t="s">
        <v>10</v>
      </c>
      <c r="B9" s="1158" t="s">
        <v>914</v>
      </c>
      <c r="C9" s="1161">
        <v>0</v>
      </c>
    </row>
    <row r="10" spans="1:3" ht="13.5" thickBot="1">
      <c r="A10" s="1162" t="s">
        <v>11</v>
      </c>
      <c r="B10" s="1158" t="s">
        <v>915</v>
      </c>
      <c r="C10" s="1163">
        <v>16867735</v>
      </c>
    </row>
    <row r="11" spans="1:3" ht="25.5">
      <c r="A11" s="1164" t="s">
        <v>12</v>
      </c>
      <c r="B11" s="1165" t="s">
        <v>987</v>
      </c>
      <c r="C11" s="1155">
        <f>C12+C13+C14+C15</f>
        <v>305452185</v>
      </c>
    </row>
    <row r="12" spans="1:4" ht="12.75">
      <c r="A12" s="1157" t="s">
        <v>13</v>
      </c>
      <c r="B12" s="1158" t="s">
        <v>912</v>
      </c>
      <c r="C12" s="1159">
        <v>288552240</v>
      </c>
      <c r="D12" s="1156"/>
    </row>
    <row r="13" spans="1:6" ht="12.75">
      <c r="A13" s="1162" t="s">
        <v>56</v>
      </c>
      <c r="B13" s="1158" t="s">
        <v>913</v>
      </c>
      <c r="C13" s="1161">
        <v>0</v>
      </c>
      <c r="D13" s="1156"/>
      <c r="E13" s="1156"/>
      <c r="F13" s="1160"/>
    </row>
    <row r="14" spans="1:3" ht="12.75">
      <c r="A14" s="1162" t="s">
        <v>57</v>
      </c>
      <c r="B14" s="1158" t="s">
        <v>914</v>
      </c>
      <c r="C14" s="1161">
        <v>0</v>
      </c>
    </row>
    <row r="15" spans="1:3" ht="13.5" thickBot="1">
      <c r="A15" s="1166" t="s">
        <v>396</v>
      </c>
      <c r="B15" s="1167" t="s">
        <v>915</v>
      </c>
      <c r="C15" s="1163">
        <f>11123344+4516878+1259723</f>
        <v>16899945</v>
      </c>
    </row>
  </sheetData>
  <sheetProtection/>
  <mergeCells count="2">
    <mergeCell ref="B1:C1"/>
    <mergeCell ref="A3:C3"/>
  </mergeCells>
  <conditionalFormatting sqref="C11">
    <cfRule type="cellIs" priority="2" dxfId="2" operator="notEqual" stopIfTrue="1">
      <formula>SUM(C12:C15)</formula>
    </cfRule>
  </conditionalFormatting>
  <conditionalFormatting sqref="C6">
    <cfRule type="cellIs" priority="1" dxfId="2" operator="notEqual" stopIfTrue="1">
      <formula>SUM(C7:C10)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view="pageBreakPreview" zoomScale="60" zoomScalePageLayoutView="0" workbookViewId="0" topLeftCell="A1">
      <selection activeCell="A24" sqref="A24"/>
    </sheetView>
  </sheetViews>
  <sheetFormatPr defaultColWidth="9.140625" defaultRowHeight="12.75"/>
  <cols>
    <col min="1" max="1" width="55.57421875" style="710" customWidth="1"/>
    <col min="2" max="2" width="27.7109375" style="710" customWidth="1"/>
    <col min="3" max="3" width="11.140625" style="775" customWidth="1"/>
    <col min="4" max="4" width="12.28125" style="775" hidden="1" customWidth="1"/>
    <col min="5" max="5" width="26.8515625" style="776" customWidth="1"/>
    <col min="6" max="8" width="12.00390625" style="776" customWidth="1"/>
    <col min="9" max="9" width="12.140625" style="776" customWidth="1"/>
    <col min="10" max="10" width="12.140625" style="0" customWidth="1"/>
    <col min="11" max="11" width="11.8515625" style="776" customWidth="1"/>
    <col min="12" max="12" width="11.00390625" style="776" customWidth="1"/>
    <col min="13" max="13" width="12.140625" style="776" customWidth="1"/>
    <col min="14" max="16384" width="9.140625" style="776" customWidth="1"/>
  </cols>
  <sheetData>
    <row r="1" spans="5:11" ht="12.75">
      <c r="E1" s="1849"/>
      <c r="F1" s="1849"/>
      <c r="G1" s="1849"/>
      <c r="H1" s="1849"/>
      <c r="I1" s="1849"/>
      <c r="J1" s="1849"/>
      <c r="K1" s="1849"/>
    </row>
    <row r="2" spans="2:11" ht="12.75">
      <c r="B2" s="1850" t="s">
        <v>1026</v>
      </c>
      <c r="C2" s="1850"/>
      <c r="D2" s="1850"/>
      <c r="E2" s="1850"/>
      <c r="F2" s="1850"/>
      <c r="G2" s="1850"/>
      <c r="H2" s="1850"/>
      <c r="I2" s="1850"/>
      <c r="J2" s="1850"/>
      <c r="K2" s="1850"/>
    </row>
    <row r="3" spans="1:11" ht="26.25" customHeight="1">
      <c r="A3" s="1851" t="s">
        <v>602</v>
      </c>
      <c r="B3" s="1851"/>
      <c r="C3" s="1851"/>
      <c r="D3" s="1851"/>
      <c r="E3" s="1851"/>
      <c r="F3" s="1851"/>
      <c r="G3" s="1851"/>
      <c r="H3" s="1851"/>
      <c r="I3" s="1851"/>
      <c r="J3" s="1851"/>
      <c r="K3" s="1851"/>
    </row>
    <row r="4" spans="1:11" ht="21" customHeight="1">
      <c r="A4" s="1852" t="s">
        <v>507</v>
      </c>
      <c r="B4" s="1852"/>
      <c r="C4" s="1852"/>
      <c r="D4" s="1852"/>
      <c r="E4" s="1852"/>
      <c r="F4" s="1852"/>
      <c r="G4" s="1852"/>
      <c r="H4" s="1852"/>
      <c r="I4" s="1852"/>
      <c r="J4" s="1852"/>
      <c r="K4" s="1852"/>
    </row>
    <row r="5" spans="6:7" ht="32.25" customHeight="1" thickBot="1">
      <c r="F5" s="707" t="s">
        <v>465</v>
      </c>
      <c r="G5" s="707"/>
    </row>
    <row r="6" spans="1:11" s="709" customFormat="1" ht="13.5" thickBot="1">
      <c r="A6" s="708" t="s">
        <v>3</v>
      </c>
      <c r="B6" s="1853" t="s">
        <v>508</v>
      </c>
      <c r="C6" s="1854"/>
      <c r="D6" s="1854"/>
      <c r="E6" s="1853" t="s">
        <v>509</v>
      </c>
      <c r="F6" s="1854"/>
      <c r="G6" s="1854"/>
      <c r="H6" s="1853"/>
      <c r="I6" s="1854"/>
      <c r="J6" s="1854"/>
      <c r="K6" s="1854"/>
    </row>
    <row r="7" spans="3:11" ht="12.75">
      <c r="C7" s="775" t="s">
        <v>699</v>
      </c>
      <c r="E7" s="711"/>
      <c r="F7" s="712">
        <v>2016</v>
      </c>
      <c r="G7" s="712">
        <v>2017</v>
      </c>
      <c r="H7" s="712">
        <v>2018</v>
      </c>
      <c r="I7" s="712">
        <v>2019</v>
      </c>
      <c r="J7" s="712">
        <v>2020</v>
      </c>
      <c r="K7" s="712" t="s">
        <v>1</v>
      </c>
    </row>
    <row r="8" spans="1:11" ht="12.75">
      <c r="A8" s="777"/>
      <c r="B8" s="777"/>
      <c r="C8" s="713"/>
      <c r="D8" s="714" t="s">
        <v>233</v>
      </c>
      <c r="E8" s="778"/>
      <c r="F8" s="713"/>
      <c r="G8" s="713"/>
      <c r="H8" s="713"/>
      <c r="I8" s="713"/>
      <c r="J8" s="713"/>
      <c r="K8" s="713"/>
    </row>
    <row r="9" spans="1:13" ht="20.25" customHeight="1">
      <c r="A9" s="715" t="s">
        <v>530</v>
      </c>
      <c r="B9" s="716" t="s">
        <v>265</v>
      </c>
      <c r="C9" s="779">
        <v>76299528</v>
      </c>
      <c r="D9" s="779">
        <v>17366</v>
      </c>
      <c r="E9" s="717" t="s">
        <v>510</v>
      </c>
      <c r="F9" s="779">
        <f>1524000+915594</f>
        <v>2439594</v>
      </c>
      <c r="G9" s="779">
        <f>-915594+3810000-1524000</f>
        <v>1370406</v>
      </c>
      <c r="H9" s="779">
        <f>70228928+9361240+2527535+45000000+2-19928553-642738</f>
        <v>106546414</v>
      </c>
      <c r="I9" s="779">
        <f>+'20.sz.m.többéves kihatás'!E19+642738</f>
        <v>22831894</v>
      </c>
      <c r="J9" s="779"/>
      <c r="K9" s="779">
        <f>SUM(F9:I9)</f>
        <v>133188308</v>
      </c>
      <c r="M9" s="775"/>
    </row>
    <row r="10" spans="1:11" ht="18" customHeight="1">
      <c r="A10" s="1842" t="s">
        <v>511</v>
      </c>
      <c r="B10" s="1845" t="s">
        <v>518</v>
      </c>
      <c r="C10" s="780">
        <f>+K11-C9</f>
        <v>56888780</v>
      </c>
      <c r="D10" s="780"/>
      <c r="E10" s="718"/>
      <c r="F10" s="718"/>
      <c r="G10" s="718"/>
      <c r="H10" s="718"/>
      <c r="I10" s="718"/>
      <c r="J10" s="718"/>
      <c r="K10" s="718"/>
    </row>
    <row r="11" spans="1:11" ht="18.75" customHeight="1" thickBot="1">
      <c r="A11" s="1844"/>
      <c r="B11" s="1846"/>
      <c r="C11" s="781">
        <f>C9+C10</f>
        <v>133188308</v>
      </c>
      <c r="D11" s="781">
        <v>17366</v>
      </c>
      <c r="E11" s="782" t="s">
        <v>513</v>
      </c>
      <c r="F11" s="781">
        <f>F9+F10</f>
        <v>2439594</v>
      </c>
      <c r="G11" s="781">
        <f>G9+G10</f>
        <v>1370406</v>
      </c>
      <c r="H11" s="781">
        <f>H9+H10</f>
        <v>106546414</v>
      </c>
      <c r="I11" s="781">
        <f>I9+I10</f>
        <v>22831894</v>
      </c>
      <c r="J11" s="781"/>
      <c r="K11" s="781">
        <f>K9+K10</f>
        <v>133188308</v>
      </c>
    </row>
    <row r="12" spans="1:7" ht="12" customHeight="1">
      <c r="A12" s="719"/>
      <c r="F12" s="775"/>
      <c r="G12" s="775"/>
    </row>
    <row r="14" spans="1:13" ht="12.75" hidden="1">
      <c r="A14" s="720" t="s">
        <v>531</v>
      </c>
      <c r="B14" s="721" t="s">
        <v>265</v>
      </c>
      <c r="C14" s="783"/>
      <c r="D14" s="783"/>
      <c r="E14" s="722" t="s">
        <v>510</v>
      </c>
      <c r="F14" s="783"/>
      <c r="G14" s="783"/>
      <c r="H14" s="783"/>
      <c r="I14" s="783"/>
      <c r="J14" s="783"/>
      <c r="K14" s="783">
        <f>SUM(F14:I14)</f>
        <v>0</v>
      </c>
      <c r="L14" s="775"/>
      <c r="M14" s="775"/>
    </row>
    <row r="15" spans="1:11" ht="12.75" hidden="1">
      <c r="A15" s="1842" t="s">
        <v>514</v>
      </c>
      <c r="B15" s="1845" t="s">
        <v>518</v>
      </c>
      <c r="C15" s="1847"/>
      <c r="D15" s="1847"/>
      <c r="E15" s="1840"/>
      <c r="F15" s="1840"/>
      <c r="G15" s="1840"/>
      <c r="H15" s="1840"/>
      <c r="I15" s="1840"/>
      <c r="J15" s="791"/>
      <c r="K15" s="1840"/>
    </row>
    <row r="16" spans="1:11" ht="12.75" hidden="1">
      <c r="A16" s="1843"/>
      <c r="B16" s="1846"/>
      <c r="C16" s="1848"/>
      <c r="D16" s="1848"/>
      <c r="E16" s="1841"/>
      <c r="F16" s="1841"/>
      <c r="G16" s="1841"/>
      <c r="H16" s="1841"/>
      <c r="I16" s="1841"/>
      <c r="J16" s="792"/>
      <c r="K16" s="1841"/>
    </row>
    <row r="17" spans="1:11" ht="13.5" hidden="1" thickBot="1">
      <c r="A17" s="1844"/>
      <c r="B17" s="786" t="s">
        <v>512</v>
      </c>
      <c r="C17" s="781">
        <f>+C14+C15</f>
        <v>0</v>
      </c>
      <c r="D17" s="781"/>
      <c r="E17" s="782" t="s">
        <v>513</v>
      </c>
      <c r="F17" s="781">
        <f>F14+F16</f>
        <v>0</v>
      </c>
      <c r="G17" s="781">
        <f>G14+G16</f>
        <v>0</v>
      </c>
      <c r="H17" s="781">
        <f>H14+H16</f>
        <v>0</v>
      </c>
      <c r="I17" s="781">
        <f>I14+I16</f>
        <v>0</v>
      </c>
      <c r="J17" s="781"/>
      <c r="K17" s="781">
        <f>K14+K16</f>
        <v>0</v>
      </c>
    </row>
    <row r="18" spans="1:7" ht="12.75">
      <c r="A18" s="719"/>
      <c r="B18" s="787"/>
      <c r="F18" s="775"/>
      <c r="G18" s="775"/>
    </row>
    <row r="19" ht="13.5" thickBot="1"/>
    <row r="20" spans="1:13" ht="12.75">
      <c r="A20" s="723" t="s">
        <v>532</v>
      </c>
      <c r="B20" s="724" t="s">
        <v>515</v>
      </c>
      <c r="C20" s="725">
        <f>57551464-636387</f>
        <v>56915077</v>
      </c>
      <c r="D20" s="725"/>
      <c r="E20" s="726" t="s">
        <v>510</v>
      </c>
      <c r="F20" s="783">
        <v>0</v>
      </c>
      <c r="G20" s="783">
        <f>1270000*0.25+2751885*0.8-982308</f>
        <v>1536700</v>
      </c>
      <c r="H20" s="783">
        <f>76958209-9563541-2582000-2015515</f>
        <v>62797153</v>
      </c>
      <c r="I20" s="783">
        <f>+'20.sz.m.többéves kihatás'!E15+2582000+2015515</f>
        <v>14161056</v>
      </c>
      <c r="J20" s="783"/>
      <c r="K20" s="783">
        <f>SUM(F20:I20)</f>
        <v>78494909</v>
      </c>
      <c r="L20" s="775"/>
      <c r="M20" s="775"/>
    </row>
    <row r="21" spans="1:11" ht="12.75">
      <c r="A21" s="1842" t="s">
        <v>516</v>
      </c>
      <c r="B21" s="727"/>
      <c r="C21" s="728"/>
      <c r="D21" s="728"/>
      <c r="E21" s="729"/>
      <c r="F21" s="1840"/>
      <c r="G21" s="1840"/>
      <c r="H21" s="1840"/>
      <c r="I21" s="1840"/>
      <c r="J21" s="791"/>
      <c r="K21" s="1840"/>
    </row>
    <row r="22" spans="1:11" ht="12.75">
      <c r="A22" s="1843"/>
      <c r="B22" s="1845" t="s">
        <v>518</v>
      </c>
      <c r="C22" s="780">
        <f>+K23-C20</f>
        <v>21579832</v>
      </c>
      <c r="D22" s="780"/>
      <c r="E22" s="718"/>
      <c r="F22" s="1841"/>
      <c r="G22" s="1841"/>
      <c r="H22" s="1841"/>
      <c r="I22" s="1841"/>
      <c r="J22" s="792"/>
      <c r="K22" s="1841"/>
    </row>
    <row r="23" spans="1:11" ht="13.5" thickBot="1">
      <c r="A23" s="1844"/>
      <c r="B23" s="1846"/>
      <c r="C23" s="781">
        <f>C21+C22+C20</f>
        <v>78494909</v>
      </c>
      <c r="D23" s="781"/>
      <c r="E23" s="782" t="s">
        <v>513</v>
      </c>
      <c r="F23" s="781">
        <f>F20+F22</f>
        <v>0</v>
      </c>
      <c r="G23" s="781">
        <f>G20+G22</f>
        <v>1536700</v>
      </c>
      <c r="H23" s="781">
        <f>H20+H22</f>
        <v>62797153</v>
      </c>
      <c r="I23" s="781">
        <f>I20+I22</f>
        <v>14161056</v>
      </c>
      <c r="J23" s="781"/>
      <c r="K23" s="781">
        <f>K20+K22</f>
        <v>78494909</v>
      </c>
    </row>
    <row r="25" spans="1:13" ht="12.75" hidden="1">
      <c r="A25" s="720" t="s">
        <v>624</v>
      </c>
      <c r="B25" s="721" t="s">
        <v>265</v>
      </c>
      <c r="C25" s="783"/>
      <c r="D25" s="783"/>
      <c r="E25" s="722" t="s">
        <v>510</v>
      </c>
      <c r="F25" s="783"/>
      <c r="G25" s="783"/>
      <c r="H25" s="783"/>
      <c r="I25" s="783">
        <v>0</v>
      </c>
      <c r="J25" s="783"/>
      <c r="K25" s="783">
        <f>SUM(F25:I25)</f>
        <v>0</v>
      </c>
      <c r="M25" s="775"/>
    </row>
    <row r="26" spans="1:11" ht="12.75" hidden="1">
      <c r="A26" s="1842" t="s">
        <v>517</v>
      </c>
      <c r="B26" s="1845" t="s">
        <v>518</v>
      </c>
      <c r="C26" s="1847"/>
      <c r="D26" s="784"/>
      <c r="E26" s="1840"/>
      <c r="F26" s="1840"/>
      <c r="G26" s="1840"/>
      <c r="H26" s="1840"/>
      <c r="I26" s="1840"/>
      <c r="J26" s="791"/>
      <c r="K26" s="1840"/>
    </row>
    <row r="27" spans="1:11" ht="12.75" hidden="1">
      <c r="A27" s="1843"/>
      <c r="B27" s="1846"/>
      <c r="C27" s="1848"/>
      <c r="D27" s="785"/>
      <c r="E27" s="1841"/>
      <c r="F27" s="1841"/>
      <c r="G27" s="1841"/>
      <c r="H27" s="1841"/>
      <c r="I27" s="1841"/>
      <c r="J27" s="792"/>
      <c r="K27" s="1841"/>
    </row>
    <row r="28" spans="1:11" ht="13.5" hidden="1" thickBot="1">
      <c r="A28" s="1844"/>
      <c r="B28" s="786" t="s">
        <v>512</v>
      </c>
      <c r="C28" s="781">
        <f>C25+C27</f>
        <v>0</v>
      </c>
      <c r="D28" s="781"/>
      <c r="E28" s="782" t="s">
        <v>513</v>
      </c>
      <c r="F28" s="781">
        <f>F25+F27</f>
        <v>0</v>
      </c>
      <c r="G28" s="781">
        <f>G25+G27</f>
        <v>0</v>
      </c>
      <c r="H28" s="781">
        <f>H25+H27</f>
        <v>0</v>
      </c>
      <c r="I28" s="781">
        <f>I25+I27</f>
        <v>0</v>
      </c>
      <c r="J28" s="781"/>
      <c r="K28" s="781">
        <f>K25+K27</f>
        <v>0</v>
      </c>
    </row>
    <row r="29" ht="13.5" thickBot="1"/>
    <row r="30" spans="1:11" ht="12.75">
      <c r="A30" s="720" t="s">
        <v>603</v>
      </c>
      <c r="B30" s="721" t="s">
        <v>265</v>
      </c>
      <c r="C30" s="783">
        <v>19340856</v>
      </c>
      <c r="D30" s="783"/>
      <c r="E30" s="722" t="s">
        <v>510</v>
      </c>
      <c r="F30" s="783"/>
      <c r="G30" s="783"/>
      <c r="H30" s="783"/>
      <c r="I30" s="783">
        <f>+'20.sz.m.többéves kihatás'!E13</f>
        <v>24439880</v>
      </c>
      <c r="J30" s="783"/>
      <c r="K30" s="783">
        <f>SUM(F30:I30)</f>
        <v>24439880</v>
      </c>
    </row>
    <row r="31" spans="1:11" ht="12.75">
      <c r="A31" s="1842" t="s">
        <v>604</v>
      </c>
      <c r="B31" s="1845" t="s">
        <v>518</v>
      </c>
      <c r="C31" s="1847">
        <f>+K30-C30</f>
        <v>5099024</v>
      </c>
      <c r="D31" s="784"/>
      <c r="E31" s="1840"/>
      <c r="F31" s="1840"/>
      <c r="G31" s="1840"/>
      <c r="H31" s="1840"/>
      <c r="I31" s="1840"/>
      <c r="J31" s="791"/>
      <c r="K31" s="1840"/>
    </row>
    <row r="32" spans="1:11" ht="12.75">
      <c r="A32" s="1843"/>
      <c r="B32" s="1846"/>
      <c r="C32" s="1848"/>
      <c r="D32" s="785"/>
      <c r="E32" s="1841"/>
      <c r="F32" s="1841"/>
      <c r="G32" s="1841"/>
      <c r="H32" s="1841"/>
      <c r="I32" s="1841"/>
      <c r="J32" s="792"/>
      <c r="K32" s="1841"/>
    </row>
    <row r="33" spans="1:11" ht="41.25" customHeight="1" thickBot="1">
      <c r="A33" s="1844"/>
      <c r="B33" s="786" t="s">
        <v>512</v>
      </c>
      <c r="C33" s="781">
        <f>C30+C32+C31</f>
        <v>24439880</v>
      </c>
      <c r="D33" s="781"/>
      <c r="E33" s="782" t="s">
        <v>513</v>
      </c>
      <c r="F33" s="781">
        <f>F30+F32</f>
        <v>0</v>
      </c>
      <c r="G33" s="781">
        <f>G30+G32</f>
        <v>0</v>
      </c>
      <c r="H33" s="781">
        <f>H30+H32</f>
        <v>0</v>
      </c>
      <c r="I33" s="781">
        <f>I30+I32</f>
        <v>24439880</v>
      </c>
      <c r="J33" s="781"/>
      <c r="K33" s="781">
        <f>K30+K32</f>
        <v>24439880</v>
      </c>
    </row>
    <row r="35" ht="13.5" thickBot="1"/>
    <row r="36" spans="1:11" ht="12.75">
      <c r="A36" s="798" t="s">
        <v>663</v>
      </c>
      <c r="B36" s="797" t="s">
        <v>265</v>
      </c>
      <c r="C36" s="796">
        <v>94948001</v>
      </c>
      <c r="D36" s="796">
        <v>17366</v>
      </c>
      <c r="E36" s="795" t="s">
        <v>510</v>
      </c>
      <c r="F36" s="796"/>
      <c r="G36" s="796"/>
      <c r="H36" s="893">
        <v>17893857</v>
      </c>
      <c r="I36" s="1251">
        <v>58463823</v>
      </c>
      <c r="J36" s="893">
        <f>94948001-I36-H36</f>
        <v>18590321</v>
      </c>
      <c r="K36" s="894">
        <v>94948001</v>
      </c>
    </row>
    <row r="37" spans="1:11" ht="12.75">
      <c r="A37" s="1838" t="s">
        <v>664</v>
      </c>
      <c r="B37" s="793" t="s">
        <v>518</v>
      </c>
      <c r="C37" s="799"/>
      <c r="D37" s="799"/>
      <c r="E37" s="800"/>
      <c r="F37" s="800"/>
      <c r="G37" s="800"/>
      <c r="H37" s="895"/>
      <c r="I37" s="895"/>
      <c r="J37" s="895"/>
      <c r="K37" s="896"/>
    </row>
    <row r="38" spans="1:11" ht="13.5" thickBot="1">
      <c r="A38" s="1839"/>
      <c r="B38" s="794" t="s">
        <v>512</v>
      </c>
      <c r="C38" s="801">
        <v>94948001</v>
      </c>
      <c r="D38" s="801">
        <v>17366</v>
      </c>
      <c r="E38" s="802" t="s">
        <v>513</v>
      </c>
      <c r="F38" s="801">
        <v>0</v>
      </c>
      <c r="G38" s="801">
        <v>0</v>
      </c>
      <c r="H38" s="897">
        <f>+H36</f>
        <v>17893857</v>
      </c>
      <c r="I38" s="897">
        <f>+I36</f>
        <v>58463823</v>
      </c>
      <c r="J38" s="897">
        <f>+J36</f>
        <v>18590321</v>
      </c>
      <c r="K38" s="897">
        <f>+K36</f>
        <v>94948001</v>
      </c>
    </row>
    <row r="40" ht="13.5" hidden="1" thickBot="1"/>
    <row r="41" spans="1:15" ht="12.75" hidden="1">
      <c r="A41" s="871" t="s">
        <v>696</v>
      </c>
      <c r="B41" s="872" t="s">
        <v>265</v>
      </c>
      <c r="C41" s="873">
        <v>6198000</v>
      </c>
      <c r="D41" s="873">
        <v>17366</v>
      </c>
      <c r="E41" s="874" t="s">
        <v>510</v>
      </c>
      <c r="F41" s="873"/>
      <c r="G41" s="873"/>
      <c r="H41" s="873"/>
      <c r="I41" s="873"/>
      <c r="J41" s="873"/>
      <c r="K41" s="875"/>
      <c r="L41" s="876"/>
      <c r="M41" s="876"/>
      <c r="N41" s="876"/>
      <c r="O41" s="876"/>
    </row>
    <row r="42" spans="1:15" ht="12.75" hidden="1">
      <c r="A42" s="1836" t="s">
        <v>697</v>
      </c>
      <c r="B42" s="877" t="s">
        <v>518</v>
      </c>
      <c r="C42" s="878"/>
      <c r="D42" s="878"/>
      <c r="E42" s="879"/>
      <c r="F42" s="879"/>
      <c r="G42" s="879"/>
      <c r="H42" s="879"/>
      <c r="I42" s="879"/>
      <c r="J42" s="879"/>
      <c r="K42" s="880"/>
      <c r="L42" s="876"/>
      <c r="M42" s="876"/>
      <c r="N42" s="876"/>
      <c r="O42" s="876"/>
    </row>
    <row r="43" spans="1:15" ht="13.5" hidden="1" thickBot="1">
      <c r="A43" s="1837"/>
      <c r="B43" s="881" t="s">
        <v>512</v>
      </c>
      <c r="C43" s="882"/>
      <c r="D43" s="882">
        <v>17366</v>
      </c>
      <c r="E43" s="883" t="s">
        <v>513</v>
      </c>
      <c r="F43" s="882">
        <v>0</v>
      </c>
      <c r="G43" s="882">
        <v>0</v>
      </c>
      <c r="H43" s="882"/>
      <c r="I43" s="882"/>
      <c r="J43" s="882"/>
      <c r="K43" s="884"/>
      <c r="L43" s="876"/>
      <c r="M43" s="876"/>
      <c r="N43" s="876"/>
      <c r="O43" s="876"/>
    </row>
    <row r="44" ht="12.75" hidden="1"/>
  </sheetData>
  <sheetProtection/>
  <mergeCells count="46">
    <mergeCell ref="B22:B23"/>
    <mergeCell ref="B10:B11"/>
    <mergeCell ref="E1:K1"/>
    <mergeCell ref="B2:K2"/>
    <mergeCell ref="A3:K3"/>
    <mergeCell ref="A4:K4"/>
    <mergeCell ref="B6:D6"/>
    <mergeCell ref="E6:G6"/>
    <mergeCell ref="H6:K6"/>
    <mergeCell ref="A10:A11"/>
    <mergeCell ref="A15:A17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A21:A23"/>
    <mergeCell ref="F21:F22"/>
    <mergeCell ref="G21:G22"/>
    <mergeCell ref="H21:H22"/>
    <mergeCell ref="I21:I22"/>
    <mergeCell ref="K21:K22"/>
    <mergeCell ref="G31:G32"/>
    <mergeCell ref="H26:H27"/>
    <mergeCell ref="I26:I27"/>
    <mergeCell ref="K26:K27"/>
    <mergeCell ref="A26:A28"/>
    <mergeCell ref="B26:B27"/>
    <mergeCell ref="C26:C27"/>
    <mergeCell ref="E26:E27"/>
    <mergeCell ref="F26:F27"/>
    <mergeCell ref="G26:G27"/>
    <mergeCell ref="A42:A43"/>
    <mergeCell ref="A37:A38"/>
    <mergeCell ref="H31:H32"/>
    <mergeCell ref="I31:I32"/>
    <mergeCell ref="K31:K32"/>
    <mergeCell ref="A31:A33"/>
    <mergeCell ref="B31:B32"/>
    <mergeCell ref="C31:C32"/>
    <mergeCell ref="E31:E32"/>
    <mergeCell ref="F31:F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G65" sqref="G65"/>
    </sheetView>
  </sheetViews>
  <sheetFormatPr defaultColWidth="9.140625" defaultRowHeight="12.75"/>
  <cols>
    <col min="1" max="1" width="8.28125" style="241" customWidth="1"/>
    <col min="2" max="2" width="8.28125" style="238" customWidth="1"/>
    <col min="3" max="3" width="52.00390625" style="238" customWidth="1"/>
    <col min="4" max="6" width="8.28125" style="238" bestFit="1" customWidth="1"/>
    <col min="7" max="7" width="7.421875" style="238" bestFit="1" customWidth="1"/>
    <col min="8" max="8" width="8.421875" style="238" bestFit="1" customWidth="1"/>
    <col min="9" max="9" width="8.8515625" style="238" hidden="1" customWidth="1"/>
    <col min="10" max="12" width="8.28125" style="238" bestFit="1" customWidth="1"/>
    <col min="13" max="13" width="7.421875" style="238" bestFit="1" customWidth="1"/>
    <col min="14" max="14" width="8.421875" style="238" bestFit="1" customWidth="1"/>
    <col min="15" max="15" width="8.8515625" style="238" hidden="1" customWidth="1"/>
    <col min="16" max="16" width="12.421875" style="238" bestFit="1" customWidth="1"/>
    <col min="17" max="17" width="4.57421875" style="238" hidden="1" customWidth="1"/>
    <col min="18" max="18" width="0" style="238" hidden="1" customWidth="1"/>
    <col min="19" max="19" width="10.00390625" style="238" hidden="1" customWidth="1"/>
    <col min="20" max="20" width="0" style="238" hidden="1" customWidth="1"/>
    <col min="21" max="16384" width="9.140625" style="238" customWidth="1"/>
  </cols>
  <sheetData>
    <row r="1" spans="1:16" s="97" customFormat="1" ht="21" customHeight="1" hidden="1">
      <c r="A1" s="96"/>
      <c r="C1" s="98"/>
      <c r="D1" s="99"/>
      <c r="E1" s="99"/>
      <c r="F1" s="99"/>
      <c r="G1" s="99"/>
      <c r="H1" s="99"/>
      <c r="I1" s="99"/>
      <c r="J1" s="1855"/>
      <c r="K1" s="1855"/>
      <c r="L1" s="1855"/>
      <c r="M1" s="1855"/>
      <c r="N1" s="1855"/>
      <c r="O1" s="1855"/>
      <c r="P1" s="1855"/>
    </row>
    <row r="2" spans="1:16" s="102" customFormat="1" ht="25.5" customHeight="1" hidden="1" thickBot="1">
      <c r="A2" s="1610"/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</row>
    <row r="3" spans="1:20" s="105" customFormat="1" ht="40.5" customHeight="1" hidden="1" thickBot="1">
      <c r="A3" s="103"/>
      <c r="B3" s="103"/>
      <c r="C3" s="103"/>
      <c r="D3" s="1608" t="s">
        <v>4</v>
      </c>
      <c r="E3" s="1609"/>
      <c r="F3" s="1609"/>
      <c r="G3" s="1609"/>
      <c r="H3" s="1609"/>
      <c r="I3" s="1614"/>
      <c r="J3" s="1608" t="s">
        <v>104</v>
      </c>
      <c r="K3" s="1609"/>
      <c r="L3" s="1609"/>
      <c r="M3" s="1609"/>
      <c r="N3" s="1609"/>
      <c r="O3" s="1614"/>
      <c r="P3" s="1856" t="s">
        <v>152</v>
      </c>
      <c r="Q3" s="1857"/>
      <c r="R3" s="1857"/>
      <c r="S3" s="1858"/>
      <c r="T3" s="388"/>
    </row>
    <row r="4" spans="1:19" ht="24.75" hidden="1" thickBot="1">
      <c r="A4" s="1612" t="s">
        <v>106</v>
      </c>
      <c r="B4" s="1613"/>
      <c r="C4" s="370" t="s">
        <v>107</v>
      </c>
      <c r="D4" s="366" t="s">
        <v>64</v>
      </c>
      <c r="E4" s="106" t="s">
        <v>225</v>
      </c>
      <c r="F4" s="106" t="s">
        <v>228</v>
      </c>
      <c r="G4" s="106" t="s">
        <v>230</v>
      </c>
      <c r="H4" s="106" t="s">
        <v>242</v>
      </c>
      <c r="I4" s="338" t="s">
        <v>234</v>
      </c>
      <c r="J4" s="366" t="s">
        <v>64</v>
      </c>
      <c r="K4" s="106" t="s">
        <v>225</v>
      </c>
      <c r="L4" s="106" t="s">
        <v>228</v>
      </c>
      <c r="M4" s="106" t="s">
        <v>230</v>
      </c>
      <c r="N4" s="106" t="s">
        <v>242</v>
      </c>
      <c r="O4" s="338" t="s">
        <v>234</v>
      </c>
      <c r="P4" s="366" t="s">
        <v>243</v>
      </c>
      <c r="Q4" s="106" t="s">
        <v>239</v>
      </c>
      <c r="R4" s="106" t="s">
        <v>228</v>
      </c>
      <c r="S4" s="338" t="s">
        <v>228</v>
      </c>
    </row>
    <row r="5" spans="1:19" s="110" customFormat="1" ht="12.75" customHeight="1" hidden="1" thickBot="1">
      <c r="A5" s="107">
        <v>1</v>
      </c>
      <c r="B5" s="108">
        <v>2</v>
      </c>
      <c r="C5" s="231">
        <v>3</v>
      </c>
      <c r="D5" s="107"/>
      <c r="E5" s="108"/>
      <c r="F5" s="108"/>
      <c r="G5" s="108"/>
      <c r="H5" s="108"/>
      <c r="I5" s="109"/>
      <c r="J5" s="107"/>
      <c r="K5" s="108"/>
      <c r="L5" s="108"/>
      <c r="M5" s="108"/>
      <c r="N5" s="108"/>
      <c r="O5" s="109"/>
      <c r="P5" s="107"/>
      <c r="Q5" s="108"/>
      <c r="R5" s="108"/>
      <c r="S5" s="109"/>
    </row>
    <row r="6" spans="1:19" s="110" customFormat="1" ht="15.75" customHeight="1" hidden="1" thickBot="1">
      <c r="A6" s="111"/>
      <c r="B6" s="112"/>
      <c r="C6" s="112" t="s">
        <v>108</v>
      </c>
      <c r="D6" s="344"/>
      <c r="E6" s="159"/>
      <c r="F6" s="159"/>
      <c r="G6" s="159"/>
      <c r="H6" s="159"/>
      <c r="I6" s="217"/>
      <c r="J6" s="344"/>
      <c r="K6" s="159"/>
      <c r="L6" s="159"/>
      <c r="M6" s="159"/>
      <c r="N6" s="159"/>
      <c r="O6" s="217"/>
      <c r="P6" s="344"/>
      <c r="Q6" s="159"/>
      <c r="R6" s="159"/>
      <c r="S6" s="217"/>
    </row>
    <row r="7" spans="1:19" s="115" customFormat="1" ht="12" customHeight="1" hidden="1" thickBot="1">
      <c r="A7" s="107" t="s">
        <v>26</v>
      </c>
      <c r="B7" s="113"/>
      <c r="C7" s="371" t="s">
        <v>109</v>
      </c>
      <c r="D7" s="345"/>
      <c r="E7" s="160"/>
      <c r="F7" s="160"/>
      <c r="G7" s="160"/>
      <c r="H7" s="397"/>
      <c r="I7" s="289"/>
      <c r="J7" s="345"/>
      <c r="K7" s="160"/>
      <c r="L7" s="160"/>
      <c r="M7" s="160"/>
      <c r="N7" s="397"/>
      <c r="O7" s="289"/>
      <c r="P7" s="345"/>
      <c r="Q7" s="160"/>
      <c r="R7" s="160"/>
      <c r="S7" s="114"/>
    </row>
    <row r="8" spans="1:19" s="115" customFormat="1" ht="12" customHeight="1" hidden="1" thickBot="1">
      <c r="A8" s="107" t="s">
        <v>9</v>
      </c>
      <c r="B8" s="113"/>
      <c r="C8" s="371" t="s">
        <v>115</v>
      </c>
      <c r="D8" s="345">
        <f aca="true" t="shared" si="0" ref="D8:M8">SUM(D9:D12)</f>
        <v>0</v>
      </c>
      <c r="E8" s="160">
        <f t="shared" si="0"/>
        <v>0</v>
      </c>
      <c r="F8" s="160">
        <f t="shared" si="0"/>
        <v>0</v>
      </c>
      <c r="G8" s="160">
        <f>SUM(G9:G12)</f>
        <v>0</v>
      </c>
      <c r="H8" s="397">
        <f>SUM(H9:H12)</f>
        <v>0</v>
      </c>
      <c r="I8" s="289"/>
      <c r="J8" s="345">
        <f t="shared" si="0"/>
        <v>0</v>
      </c>
      <c r="K8" s="160">
        <f t="shared" si="0"/>
        <v>0</v>
      </c>
      <c r="L8" s="160">
        <f t="shared" si="0"/>
        <v>0</v>
      </c>
      <c r="M8" s="160">
        <f t="shared" si="0"/>
        <v>0</v>
      </c>
      <c r="N8" s="397" t="s">
        <v>244</v>
      </c>
      <c r="O8" s="289"/>
      <c r="P8" s="345"/>
      <c r="Q8" s="160"/>
      <c r="R8" s="160"/>
      <c r="S8" s="114"/>
    </row>
    <row r="9" spans="1:19" s="120" customFormat="1" ht="12" customHeight="1" hidden="1">
      <c r="A9" s="118"/>
      <c r="B9" s="117" t="s">
        <v>116</v>
      </c>
      <c r="C9" s="356" t="s">
        <v>71</v>
      </c>
      <c r="D9" s="346"/>
      <c r="E9" s="161"/>
      <c r="F9" s="161"/>
      <c r="G9" s="161"/>
      <c r="H9" s="398"/>
      <c r="I9" s="365"/>
      <c r="J9" s="346"/>
      <c r="K9" s="161"/>
      <c r="L9" s="161"/>
      <c r="M9" s="161"/>
      <c r="N9" s="398"/>
      <c r="O9" s="365"/>
      <c r="P9" s="346"/>
      <c r="Q9" s="161"/>
      <c r="R9" s="161"/>
      <c r="S9" s="119"/>
    </row>
    <row r="10" spans="1:19" s="120" customFormat="1" ht="12" customHeight="1" hidden="1">
      <c r="A10" s="118"/>
      <c r="B10" s="117" t="s">
        <v>117</v>
      </c>
      <c r="C10" s="357" t="s">
        <v>118</v>
      </c>
      <c r="D10" s="346"/>
      <c r="E10" s="161"/>
      <c r="F10" s="161"/>
      <c r="G10" s="161"/>
      <c r="H10" s="398"/>
      <c r="I10" s="383"/>
      <c r="J10" s="346"/>
      <c r="K10" s="161"/>
      <c r="L10" s="161"/>
      <c r="M10" s="161"/>
      <c r="N10" s="398"/>
      <c r="O10" s="383"/>
      <c r="P10" s="346"/>
      <c r="Q10" s="161"/>
      <c r="R10" s="161"/>
      <c r="S10" s="119"/>
    </row>
    <row r="11" spans="1:19" s="120" customFormat="1" ht="12" customHeight="1" hidden="1">
      <c r="A11" s="118"/>
      <c r="B11" s="117" t="s">
        <v>119</v>
      </c>
      <c r="C11" s="357" t="s">
        <v>72</v>
      </c>
      <c r="D11" s="346"/>
      <c r="E11" s="161"/>
      <c r="F11" s="161"/>
      <c r="G11" s="161"/>
      <c r="H11" s="398"/>
      <c r="I11" s="383"/>
      <c r="J11" s="346"/>
      <c r="K11" s="161"/>
      <c r="L11" s="161"/>
      <c r="M11" s="161"/>
      <c r="N11" s="398"/>
      <c r="O11" s="383"/>
      <c r="P11" s="346"/>
      <c r="Q11" s="161"/>
      <c r="R11" s="161"/>
      <c r="S11" s="119"/>
    </row>
    <row r="12" spans="1:19" s="120" customFormat="1" ht="12" customHeight="1" hidden="1" thickBot="1">
      <c r="A12" s="118"/>
      <c r="B12" s="117" t="s">
        <v>120</v>
      </c>
      <c r="C12" s="357" t="s">
        <v>118</v>
      </c>
      <c r="D12" s="346"/>
      <c r="E12" s="161"/>
      <c r="F12" s="161"/>
      <c r="G12" s="161"/>
      <c r="H12" s="398"/>
      <c r="I12" s="389"/>
      <c r="J12" s="346"/>
      <c r="K12" s="161"/>
      <c r="L12" s="161"/>
      <c r="M12" s="161"/>
      <c r="N12" s="398"/>
      <c r="O12" s="389"/>
      <c r="P12" s="346"/>
      <c r="Q12" s="161"/>
      <c r="R12" s="161"/>
      <c r="S12" s="119"/>
    </row>
    <row r="13" spans="1:19" s="120" customFormat="1" ht="12" customHeight="1" hidden="1" thickBot="1">
      <c r="A13" s="121" t="s">
        <v>10</v>
      </c>
      <c r="B13" s="122"/>
      <c r="C13" s="355" t="s">
        <v>121</v>
      </c>
      <c r="D13" s="345">
        <f aca="true" t="shared" si="1" ref="D13:M13">SUM(D14:D15)</f>
        <v>0</v>
      </c>
      <c r="E13" s="160">
        <f t="shared" si="1"/>
        <v>0</v>
      </c>
      <c r="F13" s="160">
        <f t="shared" si="1"/>
        <v>0</v>
      </c>
      <c r="G13" s="160">
        <f>SUM(G14:G15)</f>
        <v>0</v>
      </c>
      <c r="H13" s="397"/>
      <c r="I13" s="289"/>
      <c r="J13" s="345">
        <f t="shared" si="1"/>
        <v>0</v>
      </c>
      <c r="K13" s="160">
        <f t="shared" si="1"/>
        <v>0</v>
      </c>
      <c r="L13" s="160">
        <f t="shared" si="1"/>
        <v>0</v>
      </c>
      <c r="M13" s="160">
        <f t="shared" si="1"/>
        <v>0</v>
      </c>
      <c r="N13" s="397"/>
      <c r="O13" s="289"/>
      <c r="P13" s="345"/>
      <c r="Q13" s="160"/>
      <c r="R13" s="160"/>
      <c r="S13" s="114"/>
    </row>
    <row r="14" spans="1:19" s="115" customFormat="1" ht="12" customHeight="1" hidden="1">
      <c r="A14" s="123"/>
      <c r="B14" s="124" t="s">
        <v>122</v>
      </c>
      <c r="C14" s="372" t="s">
        <v>123</v>
      </c>
      <c r="D14" s="347"/>
      <c r="E14" s="162"/>
      <c r="F14" s="162"/>
      <c r="G14" s="162"/>
      <c r="H14" s="399"/>
      <c r="I14" s="365"/>
      <c r="J14" s="347"/>
      <c r="K14" s="162"/>
      <c r="L14" s="162"/>
      <c r="M14" s="162"/>
      <c r="N14" s="399"/>
      <c r="O14" s="365"/>
      <c r="P14" s="347"/>
      <c r="Q14" s="162"/>
      <c r="R14" s="162"/>
      <c r="S14" s="125"/>
    </row>
    <row r="15" spans="1:19" s="115" customFormat="1" ht="12" customHeight="1" hidden="1" thickBot="1">
      <c r="A15" s="126"/>
      <c r="B15" s="127" t="s">
        <v>124</v>
      </c>
      <c r="C15" s="373" t="s">
        <v>125</v>
      </c>
      <c r="D15" s="348"/>
      <c r="E15" s="163"/>
      <c r="F15" s="163"/>
      <c r="G15" s="163"/>
      <c r="H15" s="400"/>
      <c r="I15" s="389"/>
      <c r="J15" s="348"/>
      <c r="K15" s="163"/>
      <c r="L15" s="163"/>
      <c r="M15" s="163"/>
      <c r="N15" s="400"/>
      <c r="O15" s="389"/>
      <c r="P15" s="348"/>
      <c r="Q15" s="163"/>
      <c r="R15" s="163"/>
      <c r="S15" s="128"/>
    </row>
    <row r="16" spans="1:19" s="115" customFormat="1" ht="12" customHeight="1" hidden="1" thickBot="1">
      <c r="A16" s="121" t="s">
        <v>11</v>
      </c>
      <c r="B16" s="113"/>
      <c r="C16" s="355" t="s">
        <v>126</v>
      </c>
      <c r="D16" s="349"/>
      <c r="E16" s="164"/>
      <c r="F16" s="164"/>
      <c r="G16" s="164"/>
      <c r="H16" s="401"/>
      <c r="I16" s="289"/>
      <c r="J16" s="349"/>
      <c r="K16" s="164"/>
      <c r="L16" s="164"/>
      <c r="M16" s="164"/>
      <c r="N16" s="401" t="s">
        <v>244</v>
      </c>
      <c r="O16" s="289"/>
      <c r="P16" s="349"/>
      <c r="Q16" s="164"/>
      <c r="R16" s="164"/>
      <c r="S16" s="129"/>
    </row>
    <row r="17" spans="1:19" s="115" customFormat="1" ht="12" customHeight="1" hidden="1" thickBot="1">
      <c r="A17" s="107" t="s">
        <v>12</v>
      </c>
      <c r="B17" s="130"/>
      <c r="C17" s="355" t="s">
        <v>127</v>
      </c>
      <c r="D17" s="345">
        <f aca="true" t="shared" si="2" ref="D17:M17">D7+D8+D13+D16</f>
        <v>0</v>
      </c>
      <c r="E17" s="160">
        <f t="shared" si="2"/>
        <v>0</v>
      </c>
      <c r="F17" s="160">
        <f t="shared" si="2"/>
        <v>0</v>
      </c>
      <c r="G17" s="160">
        <f t="shared" si="2"/>
        <v>0</v>
      </c>
      <c r="H17" s="397" t="s">
        <v>244</v>
      </c>
      <c r="I17" s="289"/>
      <c r="J17" s="345">
        <f t="shared" si="2"/>
        <v>0</v>
      </c>
      <c r="K17" s="160">
        <f t="shared" si="2"/>
        <v>0</v>
      </c>
      <c r="L17" s="160">
        <f t="shared" si="2"/>
        <v>0</v>
      </c>
      <c r="M17" s="160">
        <f t="shared" si="2"/>
        <v>0</v>
      </c>
      <c r="N17" s="397" t="s">
        <v>244</v>
      </c>
      <c r="O17" s="289"/>
      <c r="P17" s="345"/>
      <c r="Q17" s="160"/>
      <c r="R17" s="160"/>
      <c r="S17" s="114"/>
    </row>
    <row r="18" spans="1:19" s="120" customFormat="1" ht="12" customHeight="1" hidden="1" thickBot="1">
      <c r="A18" s="131" t="s">
        <v>13</v>
      </c>
      <c r="B18" s="115"/>
      <c r="C18" s="374" t="s">
        <v>128</v>
      </c>
      <c r="D18" s="350">
        <f aca="true" t="shared" si="3" ref="D18:M18">SUM(D19:D20)</f>
        <v>0</v>
      </c>
      <c r="E18" s="165">
        <f t="shared" si="3"/>
        <v>0</v>
      </c>
      <c r="F18" s="165">
        <f t="shared" si="3"/>
        <v>0</v>
      </c>
      <c r="G18" s="165">
        <f>SUM(G19:G20)</f>
        <v>0</v>
      </c>
      <c r="H18" s="402" t="s">
        <v>244</v>
      </c>
      <c r="I18" s="289"/>
      <c r="J18" s="350">
        <f t="shared" si="3"/>
        <v>0</v>
      </c>
      <c r="K18" s="165">
        <f t="shared" si="3"/>
        <v>0</v>
      </c>
      <c r="L18" s="165">
        <f t="shared" si="3"/>
        <v>0</v>
      </c>
      <c r="M18" s="165">
        <f t="shared" si="3"/>
        <v>0</v>
      </c>
      <c r="N18" s="402" t="s">
        <v>244</v>
      </c>
      <c r="O18" s="289"/>
      <c r="P18" s="345"/>
      <c r="Q18" s="160"/>
      <c r="R18" s="160"/>
      <c r="S18" s="114"/>
    </row>
    <row r="19" spans="1:19" s="120" customFormat="1" ht="15" customHeight="1" hidden="1">
      <c r="A19" s="116"/>
      <c r="B19" s="132" t="s">
        <v>129</v>
      </c>
      <c r="C19" s="372" t="s">
        <v>130</v>
      </c>
      <c r="D19" s="347"/>
      <c r="E19" s="162"/>
      <c r="F19" s="162"/>
      <c r="G19" s="162"/>
      <c r="H19" s="399"/>
      <c r="I19" s="365"/>
      <c r="J19" s="347"/>
      <c r="K19" s="162"/>
      <c r="L19" s="162"/>
      <c r="M19" s="162"/>
      <c r="N19" s="399" t="s">
        <v>244</v>
      </c>
      <c r="O19" s="365"/>
      <c r="P19" s="353"/>
      <c r="Q19" s="354"/>
      <c r="R19" s="354"/>
      <c r="S19" s="215"/>
    </row>
    <row r="20" spans="1:19" s="120" customFormat="1" ht="15" customHeight="1" hidden="1" thickBot="1">
      <c r="A20" s="133"/>
      <c r="B20" s="134" t="s">
        <v>131</v>
      </c>
      <c r="C20" s="375" t="s">
        <v>132</v>
      </c>
      <c r="D20" s="351"/>
      <c r="E20" s="166"/>
      <c r="F20" s="166"/>
      <c r="G20" s="166"/>
      <c r="H20" s="403"/>
      <c r="I20" s="389"/>
      <c r="J20" s="351"/>
      <c r="K20" s="166"/>
      <c r="L20" s="166"/>
      <c r="M20" s="166"/>
      <c r="N20" s="403"/>
      <c r="O20" s="389"/>
      <c r="P20" s="351"/>
      <c r="Q20" s="166"/>
      <c r="R20" s="166"/>
      <c r="S20" s="135"/>
    </row>
    <row r="21" spans="1:19" ht="13.5" hidden="1" thickBot="1">
      <c r="A21" s="136" t="s">
        <v>56</v>
      </c>
      <c r="B21" s="239"/>
      <c r="C21" s="359" t="s">
        <v>133</v>
      </c>
      <c r="D21" s="349"/>
      <c r="E21" s="164"/>
      <c r="F21" s="164"/>
      <c r="G21" s="164"/>
      <c r="H21" s="401"/>
      <c r="I21" s="289"/>
      <c r="J21" s="349"/>
      <c r="K21" s="164"/>
      <c r="L21" s="164"/>
      <c r="M21" s="164"/>
      <c r="N21" s="401"/>
      <c r="O21" s="289"/>
      <c r="P21" s="349"/>
      <c r="Q21" s="164"/>
      <c r="R21" s="164"/>
      <c r="S21" s="129"/>
    </row>
    <row r="22" spans="1:19" s="110" customFormat="1" ht="16.5" customHeight="1" hidden="1" thickBot="1">
      <c r="A22" s="136" t="s">
        <v>57</v>
      </c>
      <c r="B22" s="240"/>
      <c r="C22" s="376" t="s">
        <v>134</v>
      </c>
      <c r="D22" s="352">
        <f aca="true" t="shared" si="4" ref="D22:M22">D17+D21+D18</f>
        <v>0</v>
      </c>
      <c r="E22" s="167">
        <f t="shared" si="4"/>
        <v>0</v>
      </c>
      <c r="F22" s="167">
        <f t="shared" si="4"/>
        <v>0</v>
      </c>
      <c r="G22" s="167">
        <f t="shared" si="4"/>
        <v>0</v>
      </c>
      <c r="H22" s="404" t="s">
        <v>244</v>
      </c>
      <c r="I22" s="289"/>
      <c r="J22" s="352">
        <f t="shared" si="4"/>
        <v>0</v>
      </c>
      <c r="K22" s="167">
        <f t="shared" si="4"/>
        <v>0</v>
      </c>
      <c r="L22" s="167">
        <f t="shared" si="4"/>
        <v>0</v>
      </c>
      <c r="M22" s="167">
        <f t="shared" si="4"/>
        <v>0</v>
      </c>
      <c r="N22" s="404" t="s">
        <v>244</v>
      </c>
      <c r="O22" s="289"/>
      <c r="P22" s="352"/>
      <c r="Q22" s="167"/>
      <c r="R22" s="167"/>
      <c r="S22" s="155"/>
    </row>
    <row r="23" spans="1:19" s="141" customFormat="1" ht="12" customHeight="1" hidden="1">
      <c r="A23" s="138"/>
      <c r="B23" s="138"/>
      <c r="C23" s="139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</row>
    <row r="24" spans="1:18" ht="12" customHeight="1" hidden="1" thickBot="1">
      <c r="A24" s="142"/>
      <c r="B24" s="143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19" ht="12" customHeight="1" hidden="1" thickBot="1">
      <c r="A25" s="145"/>
      <c r="B25" s="146"/>
      <c r="C25" s="147" t="s">
        <v>135</v>
      </c>
      <c r="D25" s="158"/>
      <c r="E25" s="158"/>
      <c r="F25" s="158"/>
      <c r="G25" s="158"/>
      <c r="H25" s="158"/>
      <c r="I25" s="158"/>
      <c r="J25" s="167"/>
      <c r="K25" s="167"/>
      <c r="L25" s="158"/>
      <c r="M25" s="158"/>
      <c r="N25" s="158"/>
      <c r="O25" s="158"/>
      <c r="P25" s="137"/>
      <c r="Q25" s="137"/>
      <c r="R25" s="137"/>
      <c r="S25" s="137"/>
    </row>
    <row r="26" spans="1:19" ht="12" customHeight="1" hidden="1" thickBot="1">
      <c r="A26" s="121" t="s">
        <v>26</v>
      </c>
      <c r="B26" s="148"/>
      <c r="C26" s="355" t="s">
        <v>136</v>
      </c>
      <c r="D26" s="345">
        <f aca="true" t="shared" si="5" ref="D26:M26">SUM(D27:D31)</f>
        <v>0</v>
      </c>
      <c r="E26" s="160">
        <f t="shared" si="5"/>
        <v>0</v>
      </c>
      <c r="F26" s="160">
        <f t="shared" si="5"/>
        <v>0</v>
      </c>
      <c r="G26" s="160">
        <f>SUM(G27:G31)</f>
        <v>0</v>
      </c>
      <c r="H26" s="405" t="s">
        <v>244</v>
      </c>
      <c r="I26" s="341"/>
      <c r="J26" s="345">
        <f t="shared" si="5"/>
        <v>0</v>
      </c>
      <c r="K26" s="160">
        <f t="shared" si="5"/>
        <v>0</v>
      </c>
      <c r="L26" s="160">
        <f t="shared" si="5"/>
        <v>0</v>
      </c>
      <c r="M26" s="160">
        <f t="shared" si="5"/>
        <v>0</v>
      </c>
      <c r="N26" s="405" t="s">
        <v>244</v>
      </c>
      <c r="O26" s="341"/>
      <c r="P26" s="390"/>
      <c r="Q26" s="339"/>
      <c r="R26" s="114"/>
      <c r="S26" s="114"/>
    </row>
    <row r="27" spans="1:19" ht="12" customHeight="1" hidden="1">
      <c r="A27" s="149"/>
      <c r="B27" s="150" t="s">
        <v>110</v>
      </c>
      <c r="C27" s="356" t="s">
        <v>137</v>
      </c>
      <c r="D27" s="362"/>
      <c r="E27" s="168"/>
      <c r="F27" s="168"/>
      <c r="G27" s="168"/>
      <c r="H27" s="406"/>
      <c r="I27" s="342"/>
      <c r="J27" s="362"/>
      <c r="K27" s="168"/>
      <c r="L27" s="168"/>
      <c r="M27" s="168"/>
      <c r="N27" s="406"/>
      <c r="O27" s="342"/>
      <c r="P27" s="391"/>
      <c r="Q27" s="367"/>
      <c r="R27" s="119"/>
      <c r="S27" s="119"/>
    </row>
    <row r="28" spans="1:19" ht="12" customHeight="1" hidden="1">
      <c r="A28" s="151"/>
      <c r="B28" s="152" t="s">
        <v>111</v>
      </c>
      <c r="C28" s="357" t="s">
        <v>50</v>
      </c>
      <c r="D28" s="363"/>
      <c r="E28" s="169"/>
      <c r="F28" s="169"/>
      <c r="G28" s="169"/>
      <c r="H28" s="407"/>
      <c r="I28" s="379"/>
      <c r="J28" s="363"/>
      <c r="K28" s="169"/>
      <c r="L28" s="169"/>
      <c r="M28" s="169"/>
      <c r="N28" s="407"/>
      <c r="O28" s="379"/>
      <c r="P28" s="391"/>
      <c r="Q28" s="367"/>
      <c r="R28" s="119"/>
      <c r="S28" s="119"/>
    </row>
    <row r="29" spans="1:19" ht="12" customHeight="1" hidden="1">
      <c r="A29" s="151"/>
      <c r="B29" s="152" t="s">
        <v>112</v>
      </c>
      <c r="C29" s="357" t="s">
        <v>138</v>
      </c>
      <c r="D29" s="363"/>
      <c r="E29" s="169"/>
      <c r="F29" s="169"/>
      <c r="G29" s="169"/>
      <c r="H29" s="407"/>
      <c r="I29" s="379"/>
      <c r="J29" s="363"/>
      <c r="K29" s="169"/>
      <c r="L29" s="169"/>
      <c r="M29" s="169"/>
      <c r="N29" s="407"/>
      <c r="O29" s="379"/>
      <c r="P29" s="391"/>
      <c r="Q29" s="367"/>
      <c r="R29" s="119"/>
      <c r="S29" s="119"/>
    </row>
    <row r="30" spans="1:19" s="141" customFormat="1" ht="12" customHeight="1" hidden="1">
      <c r="A30" s="151"/>
      <c r="B30" s="152" t="s">
        <v>113</v>
      </c>
      <c r="C30" s="357" t="s">
        <v>80</v>
      </c>
      <c r="D30" s="363"/>
      <c r="E30" s="169"/>
      <c r="F30" s="169"/>
      <c r="G30" s="169"/>
      <c r="H30" s="407"/>
      <c r="I30" s="380"/>
      <c r="J30" s="363"/>
      <c r="K30" s="169"/>
      <c r="L30" s="169"/>
      <c r="M30" s="169"/>
      <c r="N30" s="407"/>
      <c r="O30" s="380"/>
      <c r="P30" s="391"/>
      <c r="Q30" s="367"/>
      <c r="R30" s="119"/>
      <c r="S30" s="119"/>
    </row>
    <row r="31" spans="1:19" ht="12" customHeight="1" hidden="1" thickBot="1">
      <c r="A31" s="151"/>
      <c r="B31" s="152" t="s">
        <v>49</v>
      </c>
      <c r="C31" s="357" t="s">
        <v>82</v>
      </c>
      <c r="D31" s="363"/>
      <c r="E31" s="169"/>
      <c r="F31" s="169"/>
      <c r="G31" s="169"/>
      <c r="H31" s="407"/>
      <c r="I31" s="381"/>
      <c r="J31" s="363"/>
      <c r="K31" s="169"/>
      <c r="L31" s="169"/>
      <c r="M31" s="169"/>
      <c r="N31" s="407"/>
      <c r="O31" s="381"/>
      <c r="P31" s="392"/>
      <c r="Q31" s="368"/>
      <c r="R31" s="153"/>
      <c r="S31" s="153"/>
    </row>
    <row r="32" spans="1:19" ht="12" customHeight="1" hidden="1" thickBot="1">
      <c r="A32" s="121" t="s">
        <v>27</v>
      </c>
      <c r="B32" s="148"/>
      <c r="C32" s="355" t="s">
        <v>139</v>
      </c>
      <c r="D32" s="345">
        <f>SUM(D33:D36)</f>
        <v>0</v>
      </c>
      <c r="E32" s="160">
        <f>SUM(E33:E36)</f>
        <v>0</v>
      </c>
      <c r="F32" s="160">
        <f>SUM(F33:F36)</f>
        <v>0</v>
      </c>
      <c r="G32" s="160">
        <f>SUM(G33:G36)</f>
        <v>0</v>
      </c>
      <c r="H32" s="405"/>
      <c r="I32" s="343"/>
      <c r="J32" s="345"/>
      <c r="K32" s="160"/>
      <c r="L32" s="160">
        <f>SUM(L33:L36)</f>
        <v>0</v>
      </c>
      <c r="M32" s="160">
        <f>SUM(M33:M36)</f>
        <v>0</v>
      </c>
      <c r="N32" s="405"/>
      <c r="O32" s="343"/>
      <c r="P32" s="390"/>
      <c r="Q32" s="339"/>
      <c r="R32" s="114"/>
      <c r="S32" s="114"/>
    </row>
    <row r="33" spans="1:19" ht="12" customHeight="1" hidden="1">
      <c r="A33" s="149"/>
      <c r="B33" s="150" t="s">
        <v>140</v>
      </c>
      <c r="C33" s="356" t="s">
        <v>92</v>
      </c>
      <c r="D33" s="362"/>
      <c r="E33" s="168"/>
      <c r="F33" s="168"/>
      <c r="G33" s="168"/>
      <c r="H33" s="406"/>
      <c r="I33" s="380"/>
      <c r="J33" s="362"/>
      <c r="K33" s="168"/>
      <c r="L33" s="168"/>
      <c r="M33" s="168"/>
      <c r="N33" s="406"/>
      <c r="O33" s="380"/>
      <c r="P33" s="391"/>
      <c r="Q33" s="367"/>
      <c r="R33" s="119"/>
      <c r="S33" s="119"/>
    </row>
    <row r="34" spans="1:19" ht="12" customHeight="1" hidden="1">
      <c r="A34" s="151"/>
      <c r="B34" s="152" t="s">
        <v>141</v>
      </c>
      <c r="C34" s="357" t="s">
        <v>93</v>
      </c>
      <c r="D34" s="363">
        <v>0</v>
      </c>
      <c r="E34" s="169">
        <v>0</v>
      </c>
      <c r="F34" s="169">
        <v>0</v>
      </c>
      <c r="G34" s="169">
        <v>0</v>
      </c>
      <c r="H34" s="407"/>
      <c r="I34" s="381"/>
      <c r="J34" s="363"/>
      <c r="K34" s="169"/>
      <c r="L34" s="169">
        <v>0</v>
      </c>
      <c r="M34" s="169">
        <v>0</v>
      </c>
      <c r="N34" s="407"/>
      <c r="O34" s="381"/>
      <c r="P34" s="392"/>
      <c r="Q34" s="368"/>
      <c r="R34" s="153"/>
      <c r="S34" s="153"/>
    </row>
    <row r="35" spans="1:19" ht="15" customHeight="1" hidden="1">
      <c r="A35" s="151"/>
      <c r="B35" s="152" t="s">
        <v>142</v>
      </c>
      <c r="C35" s="357" t="s">
        <v>143</v>
      </c>
      <c r="D35" s="363"/>
      <c r="E35" s="169"/>
      <c r="F35" s="169"/>
      <c r="G35" s="169"/>
      <c r="H35" s="407"/>
      <c r="I35" s="381"/>
      <c r="J35" s="363"/>
      <c r="K35" s="169"/>
      <c r="L35" s="169"/>
      <c r="M35" s="169"/>
      <c r="N35" s="407"/>
      <c r="O35" s="381"/>
      <c r="P35" s="392"/>
      <c r="Q35" s="368"/>
      <c r="R35" s="153"/>
      <c r="S35" s="153"/>
    </row>
    <row r="36" spans="1:19" ht="13.5" hidden="1" thickBot="1">
      <c r="A36" s="151"/>
      <c r="B36" s="152" t="s">
        <v>144</v>
      </c>
      <c r="C36" s="357" t="s">
        <v>145</v>
      </c>
      <c r="D36" s="363"/>
      <c r="E36" s="169"/>
      <c r="F36" s="169"/>
      <c r="G36" s="169"/>
      <c r="H36" s="407"/>
      <c r="I36" s="381"/>
      <c r="J36" s="363"/>
      <c r="K36" s="169"/>
      <c r="L36" s="169"/>
      <c r="M36" s="169"/>
      <c r="N36" s="407"/>
      <c r="O36" s="381"/>
      <c r="P36" s="392"/>
      <c r="Q36" s="368"/>
      <c r="R36" s="153"/>
      <c r="S36" s="153"/>
    </row>
    <row r="37" spans="1:19" ht="15" customHeight="1" hidden="1" thickBot="1">
      <c r="A37" s="121" t="s">
        <v>9</v>
      </c>
      <c r="B37" s="148"/>
      <c r="C37" s="358" t="s">
        <v>232</v>
      </c>
      <c r="D37" s="349"/>
      <c r="E37" s="164"/>
      <c r="F37" s="164"/>
      <c r="G37" s="164"/>
      <c r="H37" s="408" t="s">
        <v>244</v>
      </c>
      <c r="I37" s="341"/>
      <c r="J37" s="349"/>
      <c r="K37" s="164"/>
      <c r="L37" s="164"/>
      <c r="M37" s="164"/>
      <c r="N37" s="408" t="s">
        <v>244</v>
      </c>
      <c r="O37" s="341"/>
      <c r="P37" s="393"/>
      <c r="Q37" s="340"/>
      <c r="R37" s="129"/>
      <c r="S37" s="129"/>
    </row>
    <row r="38" spans="1:19" ht="14.25" customHeight="1" hidden="1" thickBot="1">
      <c r="A38" s="136" t="s">
        <v>10</v>
      </c>
      <c r="B38" s="239"/>
      <c r="C38" s="359" t="s">
        <v>147</v>
      </c>
      <c r="D38" s="349"/>
      <c r="E38" s="164"/>
      <c r="F38" s="164"/>
      <c r="G38" s="164"/>
      <c r="H38" s="408"/>
      <c r="I38" s="341"/>
      <c r="J38" s="349"/>
      <c r="K38" s="164"/>
      <c r="L38" s="164"/>
      <c r="M38" s="164"/>
      <c r="N38" s="408"/>
      <c r="O38" s="341"/>
      <c r="P38" s="393"/>
      <c r="Q38" s="340"/>
      <c r="R38" s="129"/>
      <c r="S38" s="129"/>
    </row>
    <row r="39" spans="1:19" ht="13.5" hidden="1" thickBot="1">
      <c r="A39" s="121" t="s">
        <v>11</v>
      </c>
      <c r="B39" s="154"/>
      <c r="C39" s="360" t="s">
        <v>148</v>
      </c>
      <c r="D39" s="352">
        <f aca="true" t="shared" si="6" ref="D39:M39">D26+D32+D37+D38</f>
        <v>0</v>
      </c>
      <c r="E39" s="167">
        <f t="shared" si="6"/>
        <v>0</v>
      </c>
      <c r="F39" s="167">
        <f t="shared" si="6"/>
        <v>0</v>
      </c>
      <c r="G39" s="167">
        <f t="shared" si="6"/>
        <v>0</v>
      </c>
      <c r="H39" s="409" t="s">
        <v>244</v>
      </c>
      <c r="I39" s="341"/>
      <c r="J39" s="352">
        <f t="shared" si="6"/>
        <v>0</v>
      </c>
      <c r="K39" s="167">
        <f t="shared" si="6"/>
        <v>0</v>
      </c>
      <c r="L39" s="167">
        <f t="shared" si="6"/>
        <v>0</v>
      </c>
      <c r="M39" s="167">
        <f t="shared" si="6"/>
        <v>0</v>
      </c>
      <c r="N39" s="409" t="s">
        <v>244</v>
      </c>
      <c r="O39" s="341"/>
      <c r="P39" s="394"/>
      <c r="Q39" s="137"/>
      <c r="R39" s="155"/>
      <c r="S39" s="155"/>
    </row>
    <row r="40" spans="4:19" ht="13.5" hidden="1" thickBot="1">
      <c r="D40" s="385"/>
      <c r="E40" s="386"/>
      <c r="F40" s="386"/>
      <c r="G40" s="386"/>
      <c r="H40" s="410"/>
      <c r="I40" s="242"/>
      <c r="J40" s="385"/>
      <c r="K40" s="386"/>
      <c r="L40" s="386"/>
      <c r="M40" s="386"/>
      <c r="N40" s="410"/>
      <c r="O40" s="242"/>
      <c r="P40" s="395"/>
      <c r="Q40" s="242"/>
      <c r="R40" s="242"/>
      <c r="S40" s="242"/>
    </row>
    <row r="41" spans="1:19" ht="13.5" hidden="1" thickBot="1">
      <c r="A41" s="156" t="s">
        <v>149</v>
      </c>
      <c r="B41" s="157"/>
      <c r="C41" s="361"/>
      <c r="D41" s="369"/>
      <c r="E41" s="171"/>
      <c r="F41" s="171"/>
      <c r="G41" s="171"/>
      <c r="H41" s="411"/>
      <c r="I41" s="341"/>
      <c r="J41" s="369"/>
      <c r="K41" s="171"/>
      <c r="L41" s="171"/>
      <c r="M41" s="171"/>
      <c r="N41" s="411"/>
      <c r="O41" s="341"/>
      <c r="P41" s="396"/>
      <c r="Q41" s="170"/>
      <c r="R41" s="170"/>
      <c r="S41" s="170"/>
    </row>
    <row r="42" spans="1:19" ht="13.5" hidden="1" thickBot="1">
      <c r="A42" s="156" t="s">
        <v>150</v>
      </c>
      <c r="B42" s="157"/>
      <c r="C42" s="361"/>
      <c r="D42" s="369"/>
      <c r="E42" s="171"/>
      <c r="F42" s="171"/>
      <c r="G42" s="171"/>
      <c r="H42" s="411"/>
      <c r="I42" s="341"/>
      <c r="J42" s="369"/>
      <c r="K42" s="171"/>
      <c r="L42" s="171"/>
      <c r="M42" s="171"/>
      <c r="N42" s="411"/>
      <c r="O42" s="341"/>
      <c r="P42" s="396"/>
      <c r="Q42" s="170"/>
      <c r="R42" s="170"/>
      <c r="S42" s="170"/>
    </row>
    <row r="43" ht="12.75" hidden="1"/>
    <row r="44" spans="1:9" ht="12.75" hidden="1">
      <c r="A44" s="1611" t="s">
        <v>151</v>
      </c>
      <c r="B44" s="1611"/>
      <c r="C44" s="1611"/>
      <c r="D44" s="1611"/>
      <c r="E44" s="230"/>
      <c r="F44" s="230"/>
      <c r="G44" s="230"/>
      <c r="H44" s="230"/>
      <c r="I44" s="230"/>
    </row>
    <row r="45" spans="1:9" ht="12.75" hidden="1">
      <c r="A45" s="1611"/>
      <c r="B45" s="1611"/>
      <c r="C45" s="1611"/>
      <c r="E45" s="243"/>
      <c r="F45" s="243"/>
      <c r="G45" s="243"/>
      <c r="H45" s="243"/>
      <c r="I45" s="243"/>
    </row>
    <row r="46" spans="4:9" ht="12.75" hidden="1">
      <c r="D46" s="243">
        <v>0</v>
      </c>
      <c r="E46" s="243"/>
      <c r="F46" s="243"/>
      <c r="G46" s="243"/>
      <c r="H46" s="243"/>
      <c r="I46" s="243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view="pageBreakPreview" zoomScale="60" zoomScaleNormal="75" zoomScalePageLayoutView="0" workbookViewId="0" topLeftCell="E9">
      <selection activeCell="AB6" sqref="AB6"/>
    </sheetView>
  </sheetViews>
  <sheetFormatPr defaultColWidth="9.140625" defaultRowHeight="12.75"/>
  <cols>
    <col min="1" max="2" width="5.7109375" style="55" customWidth="1"/>
    <col min="3" max="3" width="8.8515625" style="55" customWidth="1"/>
    <col min="4" max="4" width="56.00390625" style="12" bestFit="1" customWidth="1"/>
    <col min="5" max="5" width="22.57421875" style="244" customWidth="1"/>
    <col min="6" max="6" width="19.00390625" style="244" hidden="1" customWidth="1"/>
    <col min="7" max="7" width="17.421875" style="244" hidden="1" customWidth="1"/>
    <col min="8" max="8" width="17.8515625" style="244" hidden="1" customWidth="1"/>
    <col min="9" max="12" width="17.8515625" style="244" customWidth="1"/>
    <col min="13" max="15" width="17.8515625" style="244" hidden="1" customWidth="1"/>
    <col min="16" max="18" width="17.8515625" style="244" customWidth="1"/>
    <col min="19" max="19" width="17.8515625" style="245" customWidth="1"/>
    <col min="20" max="22" width="17.8515625" style="244" hidden="1" customWidth="1"/>
    <col min="23" max="26" width="17.8515625" style="245" customWidth="1"/>
    <col min="27" max="27" width="12.140625" style="245" bestFit="1" customWidth="1"/>
    <col min="28" max="16384" width="9.140625" style="245" customWidth="1"/>
  </cols>
  <sheetData>
    <row r="1" spans="1:23" ht="12.75">
      <c r="A1" s="52"/>
      <c r="B1" s="52"/>
      <c r="C1" s="52"/>
      <c r="D1" s="53"/>
      <c r="S1" s="1591" t="s">
        <v>535</v>
      </c>
      <c r="T1" s="1591"/>
      <c r="U1" s="1591"/>
      <c r="V1" s="1591"/>
      <c r="W1" s="1591"/>
    </row>
    <row r="2" spans="1:20" ht="34.5" customHeight="1">
      <c r="A2" s="1545" t="s">
        <v>606</v>
      </c>
      <c r="B2" s="1545"/>
      <c r="C2" s="1545"/>
      <c r="D2" s="1545"/>
      <c r="E2" s="1545"/>
      <c r="F2" s="1545"/>
      <c r="G2" s="1545"/>
      <c r="H2" s="1545"/>
      <c r="I2" s="1545"/>
      <c r="J2" s="1545"/>
      <c r="K2" s="1545"/>
      <c r="L2" s="1545"/>
      <c r="M2" s="1545"/>
      <c r="N2" s="1545"/>
      <c r="O2" s="1545"/>
      <c r="P2" s="1545"/>
      <c r="Q2" s="1545"/>
      <c r="R2" s="1545"/>
      <c r="S2" s="1545"/>
      <c r="T2" s="182"/>
    </row>
    <row r="3" spans="1:19" ht="13.5" thickBot="1">
      <c r="A3" s="54"/>
      <c r="B3" s="54"/>
      <c r="C3" s="54"/>
      <c r="D3" s="50"/>
      <c r="L3" s="3"/>
      <c r="M3" s="3"/>
      <c r="N3" s="3"/>
      <c r="O3" s="3"/>
      <c r="P3" s="3"/>
      <c r="Q3" s="3"/>
      <c r="R3" s="3"/>
      <c r="S3" s="21" t="s">
        <v>434</v>
      </c>
    </row>
    <row r="4" spans="1:25" ht="45.75" customHeight="1" thickBot="1">
      <c r="A4" s="1546" t="s">
        <v>5</v>
      </c>
      <c r="B4" s="1547"/>
      <c r="C4" s="1547"/>
      <c r="D4" s="246" t="s">
        <v>8</v>
      </c>
      <c r="E4" s="1526" t="s">
        <v>4</v>
      </c>
      <c r="F4" s="1527"/>
      <c r="G4" s="1527"/>
      <c r="H4" s="1527"/>
      <c r="I4" s="1527"/>
      <c r="J4" s="1527"/>
      <c r="K4" s="1528"/>
      <c r="L4" s="1526" t="s">
        <v>60</v>
      </c>
      <c r="M4" s="1527"/>
      <c r="N4" s="1527"/>
      <c r="O4" s="1527"/>
      <c r="P4" s="1527"/>
      <c r="Q4" s="1527"/>
      <c r="R4" s="1528"/>
      <c r="S4" s="1526" t="s">
        <v>61</v>
      </c>
      <c r="T4" s="1527"/>
      <c r="U4" s="1527"/>
      <c r="V4" s="1527"/>
      <c r="W4" s="1527"/>
      <c r="X4" s="1527"/>
      <c r="Y4" s="1528"/>
    </row>
    <row r="5" spans="1:25" ht="45.75" customHeight="1" thickBot="1">
      <c r="A5" s="235"/>
      <c r="B5" s="236"/>
      <c r="C5" s="236"/>
      <c r="D5" s="246"/>
      <c r="E5" s="275" t="s">
        <v>64</v>
      </c>
      <c r="F5" s="276" t="s">
        <v>224</v>
      </c>
      <c r="G5" s="276" t="s">
        <v>229</v>
      </c>
      <c r="H5" s="276" t="s">
        <v>231</v>
      </c>
      <c r="I5" s="276" t="s">
        <v>425</v>
      </c>
      <c r="J5" s="276" t="s">
        <v>392</v>
      </c>
      <c r="K5" s="277" t="s">
        <v>422</v>
      </c>
      <c r="L5" s="275" t="s">
        <v>64</v>
      </c>
      <c r="M5" s="276" t="s">
        <v>224</v>
      </c>
      <c r="N5" s="276" t="s">
        <v>229</v>
      </c>
      <c r="O5" s="276" t="s">
        <v>231</v>
      </c>
      <c r="P5" s="276" t="s">
        <v>425</v>
      </c>
      <c r="Q5" s="276" t="s">
        <v>392</v>
      </c>
      <c r="R5" s="277" t="s">
        <v>422</v>
      </c>
      <c r="S5" s="275" t="s">
        <v>64</v>
      </c>
      <c r="T5" s="276" t="s">
        <v>224</v>
      </c>
      <c r="U5" s="276" t="s">
        <v>229</v>
      </c>
      <c r="V5" s="276" t="s">
        <v>231</v>
      </c>
      <c r="W5" s="276" t="s">
        <v>425</v>
      </c>
      <c r="X5" s="276" t="s">
        <v>392</v>
      </c>
      <c r="Y5" s="277" t="s">
        <v>422</v>
      </c>
    </row>
    <row r="6" spans="1:25" s="6" customFormat="1" ht="21.75" customHeight="1" thickBot="1">
      <c r="A6" s="65"/>
      <c r="B6" s="1525"/>
      <c r="C6" s="1525"/>
      <c r="D6" s="1525"/>
      <c r="E6" s="689"/>
      <c r="F6" s="690"/>
      <c r="G6" s="690"/>
      <c r="H6" s="690"/>
      <c r="I6" s="690"/>
      <c r="J6" s="690"/>
      <c r="K6" s="691"/>
      <c r="L6" s="689"/>
      <c r="M6" s="690"/>
      <c r="N6" s="690"/>
      <c r="O6" s="690"/>
      <c r="P6" s="690"/>
      <c r="Q6" s="690"/>
      <c r="R6" s="691"/>
      <c r="S6" s="689"/>
      <c r="T6" s="689"/>
      <c r="U6" s="690"/>
      <c r="V6" s="690"/>
      <c r="W6" s="690"/>
      <c r="X6" s="690"/>
      <c r="Y6" s="691"/>
    </row>
    <row r="7" spans="1:25" s="6" customFormat="1" ht="21.75" customHeight="1" thickBot="1">
      <c r="A7" s="65" t="s">
        <v>26</v>
      </c>
      <c r="B7" s="1525" t="s">
        <v>280</v>
      </c>
      <c r="C7" s="1525"/>
      <c r="D7" s="1525"/>
      <c r="E7" s="689">
        <f aca="true" t="shared" si="0" ref="E7:J7">E8+E13+E16+E17+E20</f>
        <v>194460000</v>
      </c>
      <c r="F7" s="689">
        <f t="shared" si="0"/>
        <v>194672400</v>
      </c>
      <c r="G7" s="689">
        <f t="shared" si="0"/>
        <v>194672400</v>
      </c>
      <c r="H7" s="689">
        <f t="shared" si="0"/>
        <v>194672400</v>
      </c>
      <c r="I7" s="689">
        <f t="shared" si="0"/>
        <v>231132621</v>
      </c>
      <c r="J7" s="689">
        <f t="shared" si="0"/>
        <v>226539544</v>
      </c>
      <c r="K7" s="1266">
        <f>+J7/I7</f>
        <v>0.9801279586579862</v>
      </c>
      <c r="L7" s="690">
        <f aca="true" t="shared" si="1" ref="L7:Q7">L8+L13+L16+L17+L20</f>
        <v>165173226</v>
      </c>
      <c r="M7" s="690">
        <f t="shared" si="1"/>
        <v>165385626</v>
      </c>
      <c r="N7" s="690">
        <f t="shared" si="1"/>
        <v>165175626</v>
      </c>
      <c r="O7" s="690">
        <f t="shared" si="1"/>
        <v>163445626</v>
      </c>
      <c r="P7" s="690">
        <f t="shared" si="1"/>
        <v>203631553</v>
      </c>
      <c r="Q7" s="690">
        <f t="shared" si="1"/>
        <v>212594817</v>
      </c>
      <c r="R7" s="1266">
        <f>+Q7/P7</f>
        <v>1.0440170684157184</v>
      </c>
      <c r="S7" s="689">
        <f aca="true" t="shared" si="2" ref="S7:X7">S8+S13+S16</f>
        <v>29286774</v>
      </c>
      <c r="T7" s="689">
        <f t="shared" si="2"/>
        <v>29286774</v>
      </c>
      <c r="U7" s="690">
        <f t="shared" si="2"/>
        <v>29496774</v>
      </c>
      <c r="V7" s="690">
        <f t="shared" si="2"/>
        <v>31226774</v>
      </c>
      <c r="W7" s="690">
        <f t="shared" si="2"/>
        <v>27501068</v>
      </c>
      <c r="X7" s="690">
        <f t="shared" si="2"/>
        <v>13944728</v>
      </c>
      <c r="Y7" s="1266">
        <f>+X7/W7</f>
        <v>0.5070613257637849</v>
      </c>
    </row>
    <row r="8" spans="1:25" ht="21.75" customHeight="1">
      <c r="A8" s="460"/>
      <c r="B8" s="183" t="s">
        <v>35</v>
      </c>
      <c r="C8" s="1533" t="s">
        <v>281</v>
      </c>
      <c r="D8" s="1533"/>
      <c r="E8" s="692">
        <f aca="true" t="shared" si="3" ref="E8:J8">SUM(E9:E12)</f>
        <v>19500000</v>
      </c>
      <c r="F8" s="692">
        <f t="shared" si="3"/>
        <v>19500000</v>
      </c>
      <c r="G8" s="692">
        <f t="shared" si="3"/>
        <v>19500000</v>
      </c>
      <c r="H8" s="692">
        <f t="shared" si="3"/>
        <v>19500000</v>
      </c>
      <c r="I8" s="692">
        <f t="shared" si="3"/>
        <v>19003963</v>
      </c>
      <c r="J8" s="692">
        <f t="shared" si="3"/>
        <v>18435803</v>
      </c>
      <c r="K8" s="1267">
        <f aca="true" t="shared" si="4" ref="K8:K61">+J8/I8</f>
        <v>0.9701030779737889</v>
      </c>
      <c r="L8" s="693">
        <f aca="true" t="shared" si="5" ref="L8:Q8">SUM(L9:L12)</f>
        <v>19500000</v>
      </c>
      <c r="M8" s="693">
        <f t="shared" si="5"/>
        <v>19500000</v>
      </c>
      <c r="N8" s="693">
        <f t="shared" si="5"/>
        <v>19500000</v>
      </c>
      <c r="O8" s="693">
        <f t="shared" si="5"/>
        <v>19500000</v>
      </c>
      <c r="P8" s="693">
        <f t="shared" si="5"/>
        <v>19003963</v>
      </c>
      <c r="Q8" s="693">
        <f t="shared" si="5"/>
        <v>18435803</v>
      </c>
      <c r="R8" s="1267">
        <f aca="true" t="shared" si="6" ref="R8:R61">+Q8/P8</f>
        <v>0.9701030779737889</v>
      </c>
      <c r="S8" s="692">
        <v>0</v>
      </c>
      <c r="T8" s="692">
        <v>0</v>
      </c>
      <c r="U8" s="693">
        <v>0</v>
      </c>
      <c r="V8" s="693">
        <v>0</v>
      </c>
      <c r="W8" s="693">
        <v>0</v>
      </c>
      <c r="X8" s="693">
        <v>0</v>
      </c>
      <c r="Y8" s="1267"/>
    </row>
    <row r="9" spans="1:25" ht="21.75" customHeight="1">
      <c r="A9" s="62"/>
      <c r="B9" s="58"/>
      <c r="C9" s="58" t="s">
        <v>286</v>
      </c>
      <c r="D9" s="184" t="s">
        <v>282</v>
      </c>
      <c r="E9" s="694">
        <v>0</v>
      </c>
      <c r="F9" s="694">
        <v>0</v>
      </c>
      <c r="G9" s="694">
        <v>0</v>
      </c>
      <c r="H9" s="694">
        <v>0</v>
      </c>
      <c r="I9" s="694">
        <v>0</v>
      </c>
      <c r="J9" s="694">
        <v>0</v>
      </c>
      <c r="K9" s="1268"/>
      <c r="L9" s="695">
        <v>0</v>
      </c>
      <c r="M9" s="695">
        <v>0</v>
      </c>
      <c r="N9" s="695">
        <v>0</v>
      </c>
      <c r="O9" s="695">
        <v>0</v>
      </c>
      <c r="P9" s="695">
        <v>0</v>
      </c>
      <c r="Q9" s="695">
        <v>0</v>
      </c>
      <c r="R9" s="1268"/>
      <c r="S9" s="694">
        <v>0</v>
      </c>
      <c r="T9" s="694">
        <v>0</v>
      </c>
      <c r="U9" s="695">
        <v>0</v>
      </c>
      <c r="V9" s="695">
        <v>0</v>
      </c>
      <c r="W9" s="695">
        <v>0</v>
      </c>
      <c r="X9" s="695">
        <v>0</v>
      </c>
      <c r="Y9" s="1268"/>
    </row>
    <row r="10" spans="1:25" ht="21.75" customHeight="1">
      <c r="A10" s="62"/>
      <c r="B10" s="58"/>
      <c r="C10" s="58" t="s">
        <v>287</v>
      </c>
      <c r="D10" s="184" t="s">
        <v>267</v>
      </c>
      <c r="E10" s="694">
        <v>0</v>
      </c>
      <c r="F10" s="694">
        <v>0</v>
      </c>
      <c r="G10" s="694">
        <v>0</v>
      </c>
      <c r="H10" s="694">
        <v>0</v>
      </c>
      <c r="I10" s="694">
        <v>0</v>
      </c>
      <c r="J10" s="694">
        <v>0</v>
      </c>
      <c r="K10" s="1268"/>
      <c r="L10" s="695">
        <v>0</v>
      </c>
      <c r="M10" s="695">
        <v>0</v>
      </c>
      <c r="N10" s="695">
        <v>0</v>
      </c>
      <c r="O10" s="695">
        <v>0</v>
      </c>
      <c r="P10" s="695">
        <v>0</v>
      </c>
      <c r="Q10" s="695">
        <v>0</v>
      </c>
      <c r="R10" s="1268"/>
      <c r="S10" s="694">
        <v>0</v>
      </c>
      <c r="T10" s="694">
        <v>0</v>
      </c>
      <c r="U10" s="695">
        <v>0</v>
      </c>
      <c r="V10" s="695">
        <v>0</v>
      </c>
      <c r="W10" s="695">
        <v>0</v>
      </c>
      <c r="X10" s="695">
        <v>0</v>
      </c>
      <c r="Y10" s="1268"/>
    </row>
    <row r="11" spans="1:25" ht="21.75" customHeight="1">
      <c r="A11" s="62"/>
      <c r="B11" s="58"/>
      <c r="C11" s="58" t="s">
        <v>288</v>
      </c>
      <c r="D11" s="184" t="s">
        <v>266</v>
      </c>
      <c r="E11" s="694">
        <v>19500000</v>
      </c>
      <c r="F11" s="694">
        <v>19500000</v>
      </c>
      <c r="G11" s="694">
        <v>19500000</v>
      </c>
      <c r="H11" s="694">
        <v>19500000</v>
      </c>
      <c r="I11" s="694">
        <v>19003963</v>
      </c>
      <c r="J11" s="694">
        <v>18435803</v>
      </c>
      <c r="K11" s="1269">
        <f t="shared" si="4"/>
        <v>0.9701030779737889</v>
      </c>
      <c r="L11" s="673">
        <f aca="true" t="shared" si="7" ref="L11:Q11">E11</f>
        <v>19500000</v>
      </c>
      <c r="M11" s="673">
        <f t="shared" si="7"/>
        <v>19500000</v>
      </c>
      <c r="N11" s="673">
        <f t="shared" si="7"/>
        <v>19500000</v>
      </c>
      <c r="O11" s="673">
        <f t="shared" si="7"/>
        <v>19500000</v>
      </c>
      <c r="P11" s="673">
        <f t="shared" si="7"/>
        <v>19003963</v>
      </c>
      <c r="Q11" s="673">
        <f t="shared" si="7"/>
        <v>18435803</v>
      </c>
      <c r="R11" s="1269">
        <f t="shared" si="6"/>
        <v>0.9701030779737889</v>
      </c>
      <c r="S11" s="694">
        <v>0</v>
      </c>
      <c r="T11" s="694">
        <v>0</v>
      </c>
      <c r="U11" s="673">
        <v>0</v>
      </c>
      <c r="V11" s="673">
        <v>0</v>
      </c>
      <c r="W11" s="673">
        <v>0</v>
      </c>
      <c r="X11" s="673">
        <v>0</v>
      </c>
      <c r="Y11" s="1269"/>
    </row>
    <row r="12" spans="1:35" ht="21.75" customHeight="1" hidden="1">
      <c r="A12" s="62"/>
      <c r="B12" s="58"/>
      <c r="C12" s="58"/>
      <c r="D12" s="184"/>
      <c r="E12" s="696"/>
      <c r="F12" s="696"/>
      <c r="G12" s="696"/>
      <c r="H12" s="696"/>
      <c r="I12" s="696"/>
      <c r="J12" s="696"/>
      <c r="K12" s="1270" t="e">
        <f t="shared" si="4"/>
        <v>#DIV/0!</v>
      </c>
      <c r="L12" s="697"/>
      <c r="M12" s="697"/>
      <c r="N12" s="697"/>
      <c r="O12" s="697"/>
      <c r="P12" s="697"/>
      <c r="Q12" s="697"/>
      <c r="R12" s="1270" t="e">
        <f t="shared" si="6"/>
        <v>#DIV/0!</v>
      </c>
      <c r="S12" s="696"/>
      <c r="T12" s="696"/>
      <c r="U12" s="697"/>
      <c r="V12" s="697"/>
      <c r="W12" s="697"/>
      <c r="X12" s="697"/>
      <c r="Y12" s="1270" t="e">
        <f>+X12/W12</f>
        <v>#DIV/0!</v>
      </c>
      <c r="AI12" s="245" t="s">
        <v>240</v>
      </c>
    </row>
    <row r="13" spans="1:25" ht="21.75" customHeight="1">
      <c r="A13" s="62"/>
      <c r="B13" s="58" t="s">
        <v>36</v>
      </c>
      <c r="C13" s="1537" t="s">
        <v>283</v>
      </c>
      <c r="D13" s="1537"/>
      <c r="E13" s="696">
        <f aca="true" t="shared" si="8" ref="E13:J13">SUM(E14:E15)</f>
        <v>160000000</v>
      </c>
      <c r="F13" s="696">
        <f t="shared" si="8"/>
        <v>160000000</v>
      </c>
      <c r="G13" s="696">
        <f t="shared" si="8"/>
        <v>160000000</v>
      </c>
      <c r="H13" s="696">
        <f t="shared" si="8"/>
        <v>160000000</v>
      </c>
      <c r="I13" s="696">
        <f t="shared" si="8"/>
        <v>194946510</v>
      </c>
      <c r="J13" s="696">
        <f t="shared" si="8"/>
        <v>192680896</v>
      </c>
      <c r="K13" s="1270">
        <f t="shared" si="4"/>
        <v>0.988378278739127</v>
      </c>
      <c r="L13" s="697">
        <f aca="true" t="shared" si="9" ref="L13:Q13">SUM(L14:L15)</f>
        <v>130713226</v>
      </c>
      <c r="M13" s="697">
        <f t="shared" si="9"/>
        <v>130713226</v>
      </c>
      <c r="N13" s="697">
        <f t="shared" si="9"/>
        <v>130503226</v>
      </c>
      <c r="O13" s="697">
        <f t="shared" si="9"/>
        <v>128773226</v>
      </c>
      <c r="P13" s="697">
        <f t="shared" si="9"/>
        <v>167445442</v>
      </c>
      <c r="Q13" s="697">
        <f t="shared" si="9"/>
        <v>178736169</v>
      </c>
      <c r="R13" s="1270">
        <f t="shared" si="6"/>
        <v>1.067429288400696</v>
      </c>
      <c r="S13" s="696">
        <f aca="true" t="shared" si="10" ref="S13:X13">SUM(S14:S15)</f>
        <v>29286774</v>
      </c>
      <c r="T13" s="696">
        <f t="shared" si="10"/>
        <v>29286774</v>
      </c>
      <c r="U13" s="697">
        <f t="shared" si="10"/>
        <v>29496774</v>
      </c>
      <c r="V13" s="697">
        <f t="shared" si="10"/>
        <v>31226774</v>
      </c>
      <c r="W13" s="697">
        <f t="shared" si="10"/>
        <v>27501068</v>
      </c>
      <c r="X13" s="697">
        <f t="shared" si="10"/>
        <v>13944728</v>
      </c>
      <c r="Y13" s="1270">
        <f>+X13/W13</f>
        <v>0.5070613257637849</v>
      </c>
    </row>
    <row r="14" spans="1:27" ht="21.75" customHeight="1">
      <c r="A14" s="62"/>
      <c r="B14" s="58"/>
      <c r="C14" s="58" t="s">
        <v>284</v>
      </c>
      <c r="D14" s="415" t="s">
        <v>478</v>
      </c>
      <c r="E14" s="694">
        <v>160000000</v>
      </c>
      <c r="F14" s="694">
        <v>160000000</v>
      </c>
      <c r="G14" s="694">
        <v>160000000</v>
      </c>
      <c r="H14" s="694">
        <v>160000000</v>
      </c>
      <c r="I14" s="694">
        <v>194946510</v>
      </c>
      <c r="J14" s="694">
        <v>192680896</v>
      </c>
      <c r="K14" s="1268">
        <f t="shared" si="4"/>
        <v>0.988378278739127</v>
      </c>
      <c r="L14" s="695">
        <f aca="true" t="shared" si="11" ref="L14:Q14">E14-S14</f>
        <v>130713226</v>
      </c>
      <c r="M14" s="695">
        <f t="shared" si="11"/>
        <v>130713226</v>
      </c>
      <c r="N14" s="695">
        <f t="shared" si="11"/>
        <v>130503226</v>
      </c>
      <c r="O14" s="695">
        <f t="shared" si="11"/>
        <v>128773226</v>
      </c>
      <c r="P14" s="695">
        <f t="shared" si="11"/>
        <v>167445442</v>
      </c>
      <c r="Q14" s="695">
        <f t="shared" si="11"/>
        <v>178736168</v>
      </c>
      <c r="R14" s="1268">
        <f t="shared" si="6"/>
        <v>1.0674292824286014</v>
      </c>
      <c r="S14" s="694">
        <v>29286774</v>
      </c>
      <c r="T14" s="694">
        <v>29286774</v>
      </c>
      <c r="U14" s="695">
        <f>29286774+210000</f>
        <v>29496774</v>
      </c>
      <c r="V14" s="695">
        <f>29286774+210000+1730000</f>
        <v>31226774</v>
      </c>
      <c r="W14" s="695">
        <f>29286774+210000+1730000-3725706</f>
        <v>27501068</v>
      </c>
      <c r="X14" s="695">
        <v>13944728</v>
      </c>
      <c r="Y14" s="1268">
        <f>+X14/W14</f>
        <v>0.5070613257637849</v>
      </c>
      <c r="Z14" s="244"/>
      <c r="AA14" s="244"/>
    </row>
    <row r="15" spans="1:25" ht="21.75" customHeight="1">
      <c r="A15" s="62"/>
      <c r="B15" s="58"/>
      <c r="C15" s="58" t="s">
        <v>285</v>
      </c>
      <c r="D15" s="415" t="s">
        <v>290</v>
      </c>
      <c r="E15" s="694"/>
      <c r="F15" s="694"/>
      <c r="G15" s="694"/>
      <c r="H15" s="694"/>
      <c r="I15" s="694"/>
      <c r="J15" s="694"/>
      <c r="K15" s="1268"/>
      <c r="L15" s="695">
        <v>0</v>
      </c>
      <c r="M15" s="695">
        <v>0</v>
      </c>
      <c r="N15" s="695">
        <v>0</v>
      </c>
      <c r="O15" s="695">
        <v>0</v>
      </c>
      <c r="P15" s="695">
        <v>0</v>
      </c>
      <c r="Q15" s="695">
        <v>1</v>
      </c>
      <c r="R15" s="1268"/>
      <c r="S15" s="694">
        <v>0</v>
      </c>
      <c r="T15" s="694">
        <v>0</v>
      </c>
      <c r="U15" s="695">
        <v>0</v>
      </c>
      <c r="V15" s="695">
        <v>0</v>
      </c>
      <c r="W15" s="695">
        <v>0</v>
      </c>
      <c r="X15" s="695">
        <v>0</v>
      </c>
      <c r="Y15" s="1268"/>
    </row>
    <row r="16" spans="1:25" ht="21.75" customHeight="1">
      <c r="A16" s="62"/>
      <c r="B16" s="58" t="s">
        <v>112</v>
      </c>
      <c r="C16" s="1537" t="s">
        <v>291</v>
      </c>
      <c r="D16" s="1537"/>
      <c r="E16" s="694">
        <v>13900000</v>
      </c>
      <c r="F16" s="694">
        <v>13900000</v>
      </c>
      <c r="G16" s="694">
        <v>13900000</v>
      </c>
      <c r="H16" s="694">
        <v>13900000</v>
      </c>
      <c r="I16" s="694">
        <v>13973435</v>
      </c>
      <c r="J16" s="694">
        <v>13727881</v>
      </c>
      <c r="K16" s="1269">
        <f t="shared" si="4"/>
        <v>0.9824270839632488</v>
      </c>
      <c r="L16" s="673">
        <f aca="true" t="shared" si="12" ref="L16:Q16">E16</f>
        <v>13900000</v>
      </c>
      <c r="M16" s="673">
        <f t="shared" si="12"/>
        <v>13900000</v>
      </c>
      <c r="N16" s="673">
        <f t="shared" si="12"/>
        <v>13900000</v>
      </c>
      <c r="O16" s="673">
        <f t="shared" si="12"/>
        <v>13900000</v>
      </c>
      <c r="P16" s="673">
        <f t="shared" si="12"/>
        <v>13973435</v>
      </c>
      <c r="Q16" s="673">
        <f t="shared" si="12"/>
        <v>13727881</v>
      </c>
      <c r="R16" s="1269">
        <f t="shared" si="6"/>
        <v>0.9824270839632488</v>
      </c>
      <c r="S16" s="694">
        <v>0</v>
      </c>
      <c r="T16" s="694">
        <v>0</v>
      </c>
      <c r="U16" s="673">
        <v>0</v>
      </c>
      <c r="V16" s="673">
        <v>0</v>
      </c>
      <c r="W16" s="673">
        <v>0</v>
      </c>
      <c r="X16" s="673">
        <v>0</v>
      </c>
      <c r="Y16" s="1269"/>
    </row>
    <row r="17" spans="1:25" ht="21.75" customHeight="1">
      <c r="A17" s="62"/>
      <c r="B17" s="58" t="s">
        <v>48</v>
      </c>
      <c r="C17" s="1538" t="s">
        <v>292</v>
      </c>
      <c r="D17" s="1538"/>
      <c r="E17" s="696">
        <f aca="true" t="shared" si="13" ref="E17:J17">SUM(E18:E19)</f>
        <v>0</v>
      </c>
      <c r="F17" s="696">
        <f t="shared" si="13"/>
        <v>0</v>
      </c>
      <c r="G17" s="696">
        <f t="shared" si="13"/>
        <v>0</v>
      </c>
      <c r="H17" s="696">
        <f t="shared" si="13"/>
        <v>0</v>
      </c>
      <c r="I17" s="696">
        <f t="shared" si="13"/>
        <v>0</v>
      </c>
      <c r="J17" s="696">
        <f t="shared" si="13"/>
        <v>0</v>
      </c>
      <c r="K17" s="1270"/>
      <c r="L17" s="697">
        <v>0</v>
      </c>
      <c r="M17" s="697">
        <v>0</v>
      </c>
      <c r="N17" s="697">
        <v>0</v>
      </c>
      <c r="O17" s="697">
        <v>0</v>
      </c>
      <c r="P17" s="697">
        <v>0</v>
      </c>
      <c r="Q17" s="697">
        <v>0</v>
      </c>
      <c r="R17" s="1270"/>
      <c r="S17" s="696">
        <v>0</v>
      </c>
      <c r="T17" s="696">
        <v>0</v>
      </c>
      <c r="U17" s="697">
        <v>0</v>
      </c>
      <c r="V17" s="697">
        <v>0</v>
      </c>
      <c r="W17" s="697">
        <v>0</v>
      </c>
      <c r="X17" s="697">
        <v>0</v>
      </c>
      <c r="Y17" s="1270"/>
    </row>
    <row r="18" spans="1:25" ht="21.75" customHeight="1">
      <c r="A18" s="62"/>
      <c r="B18" s="58"/>
      <c r="C18" s="58" t="s">
        <v>293</v>
      </c>
      <c r="D18" s="415" t="s">
        <v>295</v>
      </c>
      <c r="E18" s="694">
        <v>0</v>
      </c>
      <c r="F18" s="694">
        <v>0</v>
      </c>
      <c r="G18" s="694">
        <v>0</v>
      </c>
      <c r="H18" s="694">
        <v>0</v>
      </c>
      <c r="I18" s="694">
        <v>0</v>
      </c>
      <c r="J18" s="694">
        <v>0</v>
      </c>
      <c r="K18" s="1268"/>
      <c r="L18" s="695">
        <v>0</v>
      </c>
      <c r="M18" s="695">
        <v>0</v>
      </c>
      <c r="N18" s="695">
        <v>0</v>
      </c>
      <c r="O18" s="695">
        <v>0</v>
      </c>
      <c r="P18" s="695">
        <v>0</v>
      </c>
      <c r="Q18" s="695">
        <v>0</v>
      </c>
      <c r="R18" s="1268"/>
      <c r="S18" s="694">
        <v>0</v>
      </c>
      <c r="T18" s="694">
        <v>0</v>
      </c>
      <c r="U18" s="695">
        <v>0</v>
      </c>
      <c r="V18" s="695">
        <v>0</v>
      </c>
      <c r="W18" s="695">
        <v>0</v>
      </c>
      <c r="X18" s="695">
        <v>0</v>
      </c>
      <c r="Y18" s="1268"/>
    </row>
    <row r="19" spans="1:25" ht="21.75" customHeight="1" hidden="1">
      <c r="A19" s="62"/>
      <c r="B19" s="58"/>
      <c r="C19" s="58" t="s">
        <v>294</v>
      </c>
      <c r="D19" s="415" t="s">
        <v>268</v>
      </c>
      <c r="E19" s="694"/>
      <c r="F19" s="694"/>
      <c r="G19" s="694"/>
      <c r="H19" s="694"/>
      <c r="I19" s="694"/>
      <c r="J19" s="694"/>
      <c r="K19" s="1269" t="e">
        <f t="shared" si="4"/>
        <v>#DIV/0!</v>
      </c>
      <c r="L19" s="673">
        <f aca="true" t="shared" si="14" ref="L19:Q20">E19</f>
        <v>0</v>
      </c>
      <c r="M19" s="673">
        <f t="shared" si="14"/>
        <v>0</v>
      </c>
      <c r="N19" s="673">
        <f t="shared" si="14"/>
        <v>0</v>
      </c>
      <c r="O19" s="673">
        <f t="shared" si="14"/>
        <v>0</v>
      </c>
      <c r="P19" s="673">
        <f t="shared" si="14"/>
        <v>0</v>
      </c>
      <c r="Q19" s="673">
        <f t="shared" si="14"/>
        <v>0</v>
      </c>
      <c r="R19" s="1269" t="e">
        <f t="shared" si="6"/>
        <v>#DIV/0!</v>
      </c>
      <c r="S19" s="694">
        <v>0</v>
      </c>
      <c r="T19" s="694">
        <v>0</v>
      </c>
      <c r="U19" s="673">
        <v>0</v>
      </c>
      <c r="V19" s="673">
        <v>0</v>
      </c>
      <c r="W19" s="673">
        <v>0</v>
      </c>
      <c r="X19" s="673">
        <v>0</v>
      </c>
      <c r="Y19" s="1269"/>
    </row>
    <row r="20" spans="1:25" ht="21.75" customHeight="1" thickBot="1">
      <c r="A20" s="335"/>
      <c r="B20" s="461" t="s">
        <v>49</v>
      </c>
      <c r="C20" s="1540" t="s">
        <v>296</v>
      </c>
      <c r="D20" s="1540"/>
      <c r="E20" s="698">
        <v>1060000</v>
      </c>
      <c r="F20" s="698">
        <v>1272400</v>
      </c>
      <c r="G20" s="698">
        <v>1272400</v>
      </c>
      <c r="H20" s="698">
        <v>1272400</v>
      </c>
      <c r="I20" s="698">
        <v>3208713</v>
      </c>
      <c r="J20" s="698">
        <f>110038+36926+1398000+150000</f>
        <v>1694964</v>
      </c>
      <c r="K20" s="1269">
        <f t="shared" si="4"/>
        <v>0.5282379570874678</v>
      </c>
      <c r="L20" s="673">
        <f t="shared" si="14"/>
        <v>1060000</v>
      </c>
      <c r="M20" s="673">
        <f t="shared" si="14"/>
        <v>1272400</v>
      </c>
      <c r="N20" s="673">
        <f t="shared" si="14"/>
        <v>1272400</v>
      </c>
      <c r="O20" s="673">
        <f t="shared" si="14"/>
        <v>1272400</v>
      </c>
      <c r="P20" s="673">
        <f t="shared" si="14"/>
        <v>3208713</v>
      </c>
      <c r="Q20" s="673">
        <f t="shared" si="14"/>
        <v>1694964</v>
      </c>
      <c r="R20" s="1269">
        <f t="shared" si="6"/>
        <v>0.5282379570874678</v>
      </c>
      <c r="S20" s="698">
        <v>0</v>
      </c>
      <c r="T20" s="698">
        <v>0</v>
      </c>
      <c r="U20" s="673">
        <v>0</v>
      </c>
      <c r="V20" s="673">
        <v>0</v>
      </c>
      <c r="W20" s="673">
        <v>0</v>
      </c>
      <c r="X20" s="673">
        <v>0</v>
      </c>
      <c r="Y20" s="1269"/>
    </row>
    <row r="21" spans="1:26" ht="21.75" customHeight="1" thickBot="1">
      <c r="A21" s="65" t="s">
        <v>297</v>
      </c>
      <c r="B21" s="1525" t="s">
        <v>298</v>
      </c>
      <c r="C21" s="1525"/>
      <c r="D21" s="1525"/>
      <c r="E21" s="689">
        <f aca="true" t="shared" si="15" ref="E21:J21">E22+E23+E24+E28+E29+E30+E31</f>
        <v>38739560</v>
      </c>
      <c r="F21" s="689">
        <f t="shared" si="15"/>
        <v>32830224</v>
      </c>
      <c r="G21" s="689">
        <f t="shared" si="15"/>
        <v>29518139</v>
      </c>
      <c r="H21" s="689">
        <f t="shared" si="15"/>
        <v>42299454</v>
      </c>
      <c r="I21" s="689">
        <f t="shared" si="15"/>
        <v>35523081</v>
      </c>
      <c r="J21" s="689">
        <f t="shared" si="15"/>
        <v>35523081</v>
      </c>
      <c r="K21" s="1266">
        <f t="shared" si="4"/>
        <v>1</v>
      </c>
      <c r="L21" s="690">
        <f aca="true" t="shared" si="16" ref="L21:Q21">L22+L23+L24+L28+L29+L30+L31</f>
        <v>38358560</v>
      </c>
      <c r="M21" s="690">
        <f t="shared" si="16"/>
        <v>32449224</v>
      </c>
      <c r="N21" s="690">
        <f t="shared" si="16"/>
        <v>29137139</v>
      </c>
      <c r="O21" s="690">
        <f t="shared" si="16"/>
        <v>41918454</v>
      </c>
      <c r="P21" s="690">
        <f t="shared" si="16"/>
        <v>35325469</v>
      </c>
      <c r="Q21" s="690">
        <f t="shared" si="16"/>
        <v>35325469</v>
      </c>
      <c r="R21" s="1266">
        <f t="shared" si="6"/>
        <v>1</v>
      </c>
      <c r="S21" s="689">
        <f aca="true" t="shared" si="17" ref="S21:X21">SUM(S22:S31)</f>
        <v>381000</v>
      </c>
      <c r="T21" s="689">
        <f t="shared" si="17"/>
        <v>381000</v>
      </c>
      <c r="U21" s="690">
        <f t="shared" si="17"/>
        <v>381000</v>
      </c>
      <c r="V21" s="690">
        <f t="shared" si="17"/>
        <v>381000</v>
      </c>
      <c r="W21" s="690">
        <f t="shared" si="17"/>
        <v>197612</v>
      </c>
      <c r="X21" s="690">
        <f t="shared" si="17"/>
        <v>197612</v>
      </c>
      <c r="Y21" s="1266">
        <f>+X21/W21</f>
        <v>1</v>
      </c>
      <c r="Z21" s="244"/>
    </row>
    <row r="22" spans="1:25" ht="21.75" customHeight="1">
      <c r="A22" s="63"/>
      <c r="B22" s="64" t="s">
        <v>38</v>
      </c>
      <c r="C22" s="1529" t="s">
        <v>299</v>
      </c>
      <c r="D22" s="1529"/>
      <c r="E22" s="699">
        <v>10388076</v>
      </c>
      <c r="F22" s="699">
        <v>10388076</v>
      </c>
      <c r="G22" s="699">
        <v>10388076</v>
      </c>
      <c r="H22" s="699">
        <v>10388076</v>
      </c>
      <c r="I22" s="699">
        <v>12550930</v>
      </c>
      <c r="J22" s="699">
        <f>1976687+10574243</f>
        <v>12550930</v>
      </c>
      <c r="K22" s="1269">
        <f t="shared" si="4"/>
        <v>1</v>
      </c>
      <c r="L22" s="673">
        <f aca="true" t="shared" si="18" ref="L22:Q22">E22-S22</f>
        <v>10007076</v>
      </c>
      <c r="M22" s="673">
        <f t="shared" si="18"/>
        <v>10007076</v>
      </c>
      <c r="N22" s="673">
        <f t="shared" si="18"/>
        <v>10007076</v>
      </c>
      <c r="O22" s="673">
        <f t="shared" si="18"/>
        <v>10007076</v>
      </c>
      <c r="P22" s="673">
        <f t="shared" si="18"/>
        <v>12405930</v>
      </c>
      <c r="Q22" s="673">
        <f t="shared" si="18"/>
        <v>12405930</v>
      </c>
      <c r="R22" s="1269">
        <f t="shared" si="6"/>
        <v>1</v>
      </c>
      <c r="S22" s="699">
        <v>381000</v>
      </c>
      <c r="T22" s="699">
        <v>381000</v>
      </c>
      <c r="U22" s="673">
        <v>381000</v>
      </c>
      <c r="V22" s="673">
        <v>381000</v>
      </c>
      <c r="W22" s="898">
        <v>145000</v>
      </c>
      <c r="X22" s="898">
        <v>145000</v>
      </c>
      <c r="Y22" s="1269">
        <f>+X22/W22</f>
        <v>1</v>
      </c>
    </row>
    <row r="23" spans="1:25" ht="21.75" customHeight="1">
      <c r="A23" s="62"/>
      <c r="B23" s="58" t="s">
        <v>39</v>
      </c>
      <c r="C23" s="1517" t="s">
        <v>330</v>
      </c>
      <c r="D23" s="1517"/>
      <c r="E23" s="674">
        <v>3983000</v>
      </c>
      <c r="F23" s="674">
        <v>3983000</v>
      </c>
      <c r="G23" s="674">
        <v>3983000</v>
      </c>
      <c r="H23" s="674">
        <v>3983000</v>
      </c>
      <c r="I23" s="674">
        <v>4220826</v>
      </c>
      <c r="J23" s="674">
        <f>2331115+1889711</f>
        <v>4220826</v>
      </c>
      <c r="K23" s="1269">
        <f t="shared" si="4"/>
        <v>1</v>
      </c>
      <c r="L23" s="673">
        <f>E23</f>
        <v>3983000</v>
      </c>
      <c r="M23" s="673">
        <f>F23</f>
        <v>3983000</v>
      </c>
      <c r="N23" s="673">
        <f>G23</f>
        <v>3983000</v>
      </c>
      <c r="O23" s="673">
        <f>H23</f>
        <v>3983000</v>
      </c>
      <c r="P23" s="673">
        <f>I23-W23</f>
        <v>4210226</v>
      </c>
      <c r="Q23" s="673">
        <f>J23-X23</f>
        <v>4210226</v>
      </c>
      <c r="R23" s="1269">
        <f t="shared" si="6"/>
        <v>1</v>
      </c>
      <c r="S23" s="674">
        <v>0</v>
      </c>
      <c r="T23" s="674">
        <v>0</v>
      </c>
      <c r="U23" s="673">
        <v>0</v>
      </c>
      <c r="V23" s="673">
        <v>0</v>
      </c>
      <c r="W23" s="673">
        <v>10600</v>
      </c>
      <c r="X23" s="673">
        <v>10600</v>
      </c>
      <c r="Y23" s="1269">
        <f>+X23/W23</f>
        <v>1</v>
      </c>
    </row>
    <row r="24" spans="1:25" ht="21.75" customHeight="1">
      <c r="A24" s="62"/>
      <c r="B24" s="58" t="s">
        <v>40</v>
      </c>
      <c r="C24" s="1517" t="s">
        <v>301</v>
      </c>
      <c r="D24" s="1517"/>
      <c r="E24" s="281">
        <f aca="true" t="shared" si="19" ref="E24:J24">SUM(E25:E27)</f>
        <v>1083712</v>
      </c>
      <c r="F24" s="281">
        <f t="shared" si="19"/>
        <v>1083712</v>
      </c>
      <c r="G24" s="281">
        <f t="shared" si="19"/>
        <v>1083712</v>
      </c>
      <c r="H24" s="281">
        <f t="shared" si="19"/>
        <v>1864426</v>
      </c>
      <c r="I24" s="281">
        <f t="shared" si="19"/>
        <v>1043112</v>
      </c>
      <c r="J24" s="281">
        <f t="shared" si="19"/>
        <v>1043112</v>
      </c>
      <c r="K24" s="1271">
        <f t="shared" si="4"/>
        <v>1</v>
      </c>
      <c r="L24" s="221">
        <f aca="true" t="shared" si="20" ref="L24:Q24">SUM(L25:L27)</f>
        <v>1083712</v>
      </c>
      <c r="M24" s="221">
        <f t="shared" si="20"/>
        <v>1083712</v>
      </c>
      <c r="N24" s="221">
        <f t="shared" si="20"/>
        <v>1083712</v>
      </c>
      <c r="O24" s="221">
        <f t="shared" si="20"/>
        <v>1864426</v>
      </c>
      <c r="P24" s="221">
        <f t="shared" si="20"/>
        <v>1043112</v>
      </c>
      <c r="Q24" s="221">
        <f t="shared" si="20"/>
        <v>1043112</v>
      </c>
      <c r="R24" s="1271">
        <f t="shared" si="6"/>
        <v>1</v>
      </c>
      <c r="S24" s="281">
        <v>0</v>
      </c>
      <c r="T24" s="281">
        <v>0</v>
      </c>
      <c r="U24" s="221">
        <v>0</v>
      </c>
      <c r="V24" s="221">
        <v>0</v>
      </c>
      <c r="W24" s="221">
        <v>0</v>
      </c>
      <c r="X24" s="221">
        <v>0</v>
      </c>
      <c r="Y24" s="1271"/>
    </row>
    <row r="25" spans="1:25" ht="21.75" customHeight="1">
      <c r="A25" s="62"/>
      <c r="B25" s="58"/>
      <c r="C25" s="58" t="s">
        <v>95</v>
      </c>
      <c r="D25" s="184" t="s">
        <v>302</v>
      </c>
      <c r="E25" s="674">
        <v>1083712</v>
      </c>
      <c r="F25" s="674">
        <v>1083712</v>
      </c>
      <c r="G25" s="674">
        <v>1083712</v>
      </c>
      <c r="H25" s="674">
        <v>1083712</v>
      </c>
      <c r="I25" s="674">
        <v>457576</v>
      </c>
      <c r="J25" s="674">
        <v>457576</v>
      </c>
      <c r="K25" s="1269">
        <f t="shared" si="4"/>
        <v>1</v>
      </c>
      <c r="L25" s="673">
        <f aca="true" t="shared" si="21" ref="L25:Q27">E25</f>
        <v>1083712</v>
      </c>
      <c r="M25" s="673">
        <f t="shared" si="21"/>
        <v>1083712</v>
      </c>
      <c r="N25" s="673">
        <f t="shared" si="21"/>
        <v>1083712</v>
      </c>
      <c r="O25" s="673">
        <f t="shared" si="21"/>
        <v>1083712</v>
      </c>
      <c r="P25" s="673">
        <f t="shared" si="21"/>
        <v>457576</v>
      </c>
      <c r="Q25" s="673">
        <f t="shared" si="21"/>
        <v>457576</v>
      </c>
      <c r="R25" s="1269">
        <f t="shared" si="6"/>
        <v>1</v>
      </c>
      <c r="S25" s="674">
        <v>0</v>
      </c>
      <c r="T25" s="674">
        <v>0</v>
      </c>
      <c r="U25" s="673">
        <v>0</v>
      </c>
      <c r="V25" s="673">
        <v>0</v>
      </c>
      <c r="W25" s="673">
        <v>0</v>
      </c>
      <c r="X25" s="673">
        <v>0</v>
      </c>
      <c r="Y25" s="1269"/>
    </row>
    <row r="26" spans="1:25" ht="41.25" customHeight="1">
      <c r="A26" s="62"/>
      <c r="B26" s="58"/>
      <c r="C26" s="58" t="s">
        <v>96</v>
      </c>
      <c r="D26" s="184" t="s">
        <v>303</v>
      </c>
      <c r="E26" s="674"/>
      <c r="F26" s="674"/>
      <c r="G26" s="674"/>
      <c r="H26" s="674">
        <v>780714</v>
      </c>
      <c r="I26" s="674">
        <v>585536</v>
      </c>
      <c r="J26" s="674">
        <v>585536</v>
      </c>
      <c r="K26" s="1269">
        <f t="shared" si="4"/>
        <v>1</v>
      </c>
      <c r="L26" s="673">
        <f t="shared" si="21"/>
        <v>0</v>
      </c>
      <c r="M26" s="673">
        <f t="shared" si="21"/>
        <v>0</v>
      </c>
      <c r="N26" s="673">
        <f t="shared" si="21"/>
        <v>0</v>
      </c>
      <c r="O26" s="673">
        <f t="shared" si="21"/>
        <v>780714</v>
      </c>
      <c r="P26" s="673">
        <f t="shared" si="21"/>
        <v>585536</v>
      </c>
      <c r="Q26" s="673">
        <f t="shared" si="21"/>
        <v>585536</v>
      </c>
      <c r="R26" s="1269">
        <f t="shared" si="6"/>
        <v>1</v>
      </c>
      <c r="S26" s="674">
        <v>0</v>
      </c>
      <c r="T26" s="674">
        <v>0</v>
      </c>
      <c r="U26" s="673">
        <v>0</v>
      </c>
      <c r="V26" s="673">
        <v>0</v>
      </c>
      <c r="W26" s="673">
        <v>0</v>
      </c>
      <c r="X26" s="673">
        <v>0</v>
      </c>
      <c r="Y26" s="1269"/>
    </row>
    <row r="27" spans="1:25" ht="21.75" customHeight="1">
      <c r="A27" s="62"/>
      <c r="B27" s="58"/>
      <c r="C27" s="58" t="s">
        <v>97</v>
      </c>
      <c r="D27" s="184" t="s">
        <v>470</v>
      </c>
      <c r="E27" s="674"/>
      <c r="F27" s="674"/>
      <c r="G27" s="674"/>
      <c r="H27" s="674"/>
      <c r="I27" s="674"/>
      <c r="J27" s="674"/>
      <c r="K27" s="1272"/>
      <c r="L27" s="673">
        <f t="shared" si="21"/>
        <v>0</v>
      </c>
      <c r="M27" s="673">
        <f t="shared" si="21"/>
        <v>0</v>
      </c>
      <c r="N27" s="673">
        <f t="shared" si="21"/>
        <v>0</v>
      </c>
      <c r="O27" s="673">
        <f t="shared" si="21"/>
        <v>0</v>
      </c>
      <c r="P27" s="673">
        <f t="shared" si="21"/>
        <v>0</v>
      </c>
      <c r="Q27" s="673">
        <f t="shared" si="21"/>
        <v>0</v>
      </c>
      <c r="R27" s="1272"/>
      <c r="S27" s="674">
        <v>0</v>
      </c>
      <c r="T27" s="674">
        <v>0</v>
      </c>
      <c r="U27" s="673">
        <v>0</v>
      </c>
      <c r="V27" s="673">
        <v>0</v>
      </c>
      <c r="W27" s="673">
        <v>0</v>
      </c>
      <c r="X27" s="673">
        <v>0</v>
      </c>
      <c r="Y27" s="1272"/>
    </row>
    <row r="28" spans="1:25" ht="21.75" customHeight="1">
      <c r="A28" s="62"/>
      <c r="B28" s="58" t="s">
        <v>269</v>
      </c>
      <c r="C28" s="1517" t="s">
        <v>304</v>
      </c>
      <c r="D28" s="1517"/>
      <c r="E28" s="674">
        <v>967410</v>
      </c>
      <c r="F28" s="674">
        <v>967410</v>
      </c>
      <c r="G28" s="674">
        <v>967410</v>
      </c>
      <c r="H28" s="674">
        <v>1178203</v>
      </c>
      <c r="I28" s="674">
        <v>1419681</v>
      </c>
      <c r="J28" s="674">
        <v>1419681</v>
      </c>
      <c r="K28" s="1269">
        <f t="shared" si="4"/>
        <v>1</v>
      </c>
      <c r="L28" s="673">
        <f aca="true" t="shared" si="22" ref="L28:Q29">E28-S28</f>
        <v>967410</v>
      </c>
      <c r="M28" s="673">
        <f t="shared" si="22"/>
        <v>967410</v>
      </c>
      <c r="N28" s="673">
        <f t="shared" si="22"/>
        <v>967410</v>
      </c>
      <c r="O28" s="673">
        <f t="shared" si="22"/>
        <v>1178203</v>
      </c>
      <c r="P28" s="673">
        <f t="shared" si="22"/>
        <v>1377669</v>
      </c>
      <c r="Q28" s="673">
        <f t="shared" si="22"/>
        <v>1377669</v>
      </c>
      <c r="R28" s="1269">
        <f t="shared" si="6"/>
        <v>1</v>
      </c>
      <c r="S28" s="674">
        <v>0</v>
      </c>
      <c r="T28" s="674">
        <v>0</v>
      </c>
      <c r="U28" s="673">
        <v>0</v>
      </c>
      <c r="V28" s="673">
        <v>0</v>
      </c>
      <c r="W28" s="673">
        <v>42012</v>
      </c>
      <c r="X28" s="673">
        <v>42012</v>
      </c>
      <c r="Y28" s="1269"/>
    </row>
    <row r="29" spans="1:25" ht="21.75" customHeight="1">
      <c r="A29" s="66"/>
      <c r="B29" s="67" t="s">
        <v>305</v>
      </c>
      <c r="C29" s="1517" t="s">
        <v>503</v>
      </c>
      <c r="D29" s="1517"/>
      <c r="E29" s="674"/>
      <c r="F29" s="674"/>
      <c r="G29" s="674"/>
      <c r="H29" s="674">
        <v>14788223</v>
      </c>
      <c r="I29" s="674">
        <v>14788223</v>
      </c>
      <c r="J29" s="674">
        <v>14788223</v>
      </c>
      <c r="K29" s="1272">
        <f t="shared" si="4"/>
        <v>1</v>
      </c>
      <c r="L29" s="673">
        <f t="shared" si="22"/>
        <v>0</v>
      </c>
      <c r="M29" s="673">
        <f t="shared" si="22"/>
        <v>0</v>
      </c>
      <c r="N29" s="673">
        <f t="shared" si="22"/>
        <v>0</v>
      </c>
      <c r="O29" s="673">
        <f t="shared" si="22"/>
        <v>14788223</v>
      </c>
      <c r="P29" s="673">
        <f t="shared" si="22"/>
        <v>14788223</v>
      </c>
      <c r="Q29" s="673">
        <f t="shared" si="22"/>
        <v>14788223</v>
      </c>
      <c r="R29" s="1272">
        <f t="shared" si="6"/>
        <v>1</v>
      </c>
      <c r="S29" s="674">
        <v>0</v>
      </c>
      <c r="T29" s="674">
        <v>0</v>
      </c>
      <c r="U29" s="673">
        <v>0</v>
      </c>
      <c r="V29" s="673">
        <v>0</v>
      </c>
      <c r="W29" s="673">
        <v>0</v>
      </c>
      <c r="X29" s="673">
        <v>0</v>
      </c>
      <c r="Y29" s="1272"/>
    </row>
    <row r="30" spans="1:25" ht="21.75" customHeight="1">
      <c r="A30" s="66"/>
      <c r="B30" s="67" t="s">
        <v>306</v>
      </c>
      <c r="C30" s="1517" t="s">
        <v>307</v>
      </c>
      <c r="D30" s="1517"/>
      <c r="E30" s="674">
        <v>100000</v>
      </c>
      <c r="F30" s="674">
        <v>100000</v>
      </c>
      <c r="G30" s="674">
        <v>100000</v>
      </c>
      <c r="H30" s="674">
        <v>100000</v>
      </c>
      <c r="I30" s="674">
        <v>34274</v>
      </c>
      <c r="J30" s="674">
        <v>34274</v>
      </c>
      <c r="K30" s="1269">
        <f t="shared" si="4"/>
        <v>1</v>
      </c>
      <c r="L30" s="673">
        <f aca="true" t="shared" si="23" ref="L30:Q31">E30</f>
        <v>100000</v>
      </c>
      <c r="M30" s="673">
        <f t="shared" si="23"/>
        <v>100000</v>
      </c>
      <c r="N30" s="673">
        <f t="shared" si="23"/>
        <v>100000</v>
      </c>
      <c r="O30" s="673">
        <f t="shared" si="23"/>
        <v>100000</v>
      </c>
      <c r="P30" s="673">
        <f t="shared" si="23"/>
        <v>34274</v>
      </c>
      <c r="Q30" s="673">
        <f t="shared" si="23"/>
        <v>34274</v>
      </c>
      <c r="R30" s="1269">
        <f t="shared" si="6"/>
        <v>1</v>
      </c>
      <c r="S30" s="674">
        <v>0</v>
      </c>
      <c r="T30" s="674">
        <v>0</v>
      </c>
      <c r="U30" s="673">
        <v>0</v>
      </c>
      <c r="V30" s="673">
        <v>0</v>
      </c>
      <c r="W30" s="673">
        <v>0</v>
      </c>
      <c r="X30" s="673">
        <v>0</v>
      </c>
      <c r="Y30" s="1269"/>
    </row>
    <row r="31" spans="1:25" ht="21.75" customHeight="1" thickBot="1">
      <c r="A31" s="66"/>
      <c r="B31" s="67" t="s">
        <v>68</v>
      </c>
      <c r="C31" s="1530" t="s">
        <v>69</v>
      </c>
      <c r="D31" s="1530"/>
      <c r="E31" s="674">
        <v>22217362</v>
      </c>
      <c r="F31" s="674">
        <v>16308026</v>
      </c>
      <c r="G31" s="674">
        <v>12995941</v>
      </c>
      <c r="H31" s="674">
        <v>9997526</v>
      </c>
      <c r="I31" s="674">
        <v>1466035</v>
      </c>
      <c r="J31" s="674">
        <f>1248297+217738</f>
        <v>1466035</v>
      </c>
      <c r="K31" s="1269">
        <f t="shared" si="4"/>
        <v>1</v>
      </c>
      <c r="L31" s="673">
        <f t="shared" si="23"/>
        <v>22217362</v>
      </c>
      <c r="M31" s="673">
        <f t="shared" si="23"/>
        <v>16308026</v>
      </c>
      <c r="N31" s="673">
        <f t="shared" si="23"/>
        <v>12995941</v>
      </c>
      <c r="O31" s="673">
        <f t="shared" si="23"/>
        <v>9997526</v>
      </c>
      <c r="P31" s="673">
        <f t="shared" si="23"/>
        <v>1466035</v>
      </c>
      <c r="Q31" s="673">
        <f t="shared" si="23"/>
        <v>1466035</v>
      </c>
      <c r="R31" s="1269">
        <f t="shared" si="6"/>
        <v>1</v>
      </c>
      <c r="S31" s="674">
        <v>0</v>
      </c>
      <c r="T31" s="674">
        <v>0</v>
      </c>
      <c r="U31" s="673">
        <v>0</v>
      </c>
      <c r="V31" s="673">
        <v>0</v>
      </c>
      <c r="W31" s="673">
        <v>0</v>
      </c>
      <c r="X31" s="673">
        <v>0</v>
      </c>
      <c r="Y31" s="1269"/>
    </row>
    <row r="32" spans="1:25" ht="21.75" customHeight="1" thickBot="1">
      <c r="A32" s="69" t="s">
        <v>9</v>
      </c>
      <c r="B32" s="1525" t="s">
        <v>308</v>
      </c>
      <c r="C32" s="1525"/>
      <c r="D32" s="1525"/>
      <c r="E32" s="273">
        <f aca="true" t="shared" si="24" ref="E32:J32">SUM(E33:E37)</f>
        <v>340241503</v>
      </c>
      <c r="F32" s="273">
        <f t="shared" si="24"/>
        <v>346150839</v>
      </c>
      <c r="G32" s="273">
        <f t="shared" si="24"/>
        <v>349587924</v>
      </c>
      <c r="H32" s="273">
        <f t="shared" si="24"/>
        <v>366795917</v>
      </c>
      <c r="I32" s="273">
        <f t="shared" si="24"/>
        <v>382253992</v>
      </c>
      <c r="J32" s="273">
        <f t="shared" si="24"/>
        <v>371041805</v>
      </c>
      <c r="K32" s="1273">
        <f t="shared" si="4"/>
        <v>0.9706682278415552</v>
      </c>
      <c r="L32" s="72">
        <f aca="true" t="shared" si="25" ref="L32:T32">SUM(L33:L37)</f>
        <v>291196675</v>
      </c>
      <c r="M32" s="72">
        <f t="shared" si="25"/>
        <v>297106011</v>
      </c>
      <c r="N32" s="72">
        <f>SUM(N33:N37)</f>
        <v>300543096</v>
      </c>
      <c r="O32" s="72">
        <f>SUM(O33:O37)</f>
        <v>317751089</v>
      </c>
      <c r="P32" s="72">
        <f>SUM(P33:P37)</f>
        <v>333209164</v>
      </c>
      <c r="Q32" s="72">
        <f>SUM(Q33:Q37)</f>
        <v>326788965</v>
      </c>
      <c r="R32" s="1273">
        <f t="shared" si="6"/>
        <v>0.9807322255998938</v>
      </c>
      <c r="S32" s="72">
        <f t="shared" si="25"/>
        <v>49044828</v>
      </c>
      <c r="T32" s="72">
        <f t="shared" si="25"/>
        <v>49044828</v>
      </c>
      <c r="U32" s="72">
        <f>SUM(U33:U37)</f>
        <v>49044828</v>
      </c>
      <c r="V32" s="72">
        <f>SUM(V33:V37)</f>
        <v>49044828</v>
      </c>
      <c r="W32" s="72">
        <f>SUM(W33:W37)</f>
        <v>49044828</v>
      </c>
      <c r="X32" s="72">
        <f>SUM(X33:X37)</f>
        <v>44252841</v>
      </c>
      <c r="Y32" s="1273">
        <f>+X32/W32</f>
        <v>0.9022937342139318</v>
      </c>
    </row>
    <row r="33" spans="1:27" ht="21.75" customHeight="1">
      <c r="A33" s="63"/>
      <c r="B33" s="67" t="s">
        <v>41</v>
      </c>
      <c r="C33" s="1518" t="s">
        <v>309</v>
      </c>
      <c r="D33" s="1518"/>
      <c r="E33" s="677">
        <v>274627404</v>
      </c>
      <c r="F33" s="677">
        <f>80554999+45760667+145647367+5194247+3181090+198370</f>
        <v>280536740</v>
      </c>
      <c r="G33" s="677">
        <f>80988431+45760667+145647367+7852065+3306090+419205</f>
        <v>283973825</v>
      </c>
      <c r="H33" s="677">
        <f>83846172+46362483+150810029+10430747+3414090+565197</f>
        <v>295428718</v>
      </c>
      <c r="I33" s="677">
        <f>304713360-1943100</f>
        <v>302770260</v>
      </c>
      <c r="J33" s="677">
        <f>304713360-1943100</f>
        <v>302770260</v>
      </c>
      <c r="K33" s="1269">
        <f t="shared" si="4"/>
        <v>1</v>
      </c>
      <c r="L33" s="673">
        <f aca="true" t="shared" si="26" ref="L33:Q34">E33</f>
        <v>274627404</v>
      </c>
      <c r="M33" s="673">
        <f t="shared" si="26"/>
        <v>280536740</v>
      </c>
      <c r="N33" s="673">
        <f t="shared" si="26"/>
        <v>283973825</v>
      </c>
      <c r="O33" s="673">
        <f t="shared" si="26"/>
        <v>295428718</v>
      </c>
      <c r="P33" s="673">
        <f t="shared" si="26"/>
        <v>302770260</v>
      </c>
      <c r="Q33" s="673">
        <f t="shared" si="26"/>
        <v>302770260</v>
      </c>
      <c r="R33" s="1269">
        <f t="shared" si="6"/>
        <v>1</v>
      </c>
      <c r="S33" s="677">
        <v>0</v>
      </c>
      <c r="T33" s="677">
        <v>0</v>
      </c>
      <c r="U33" s="673">
        <v>0</v>
      </c>
      <c r="V33" s="673">
        <v>0</v>
      </c>
      <c r="W33" s="673">
        <v>0</v>
      </c>
      <c r="X33" s="673">
        <v>0</v>
      </c>
      <c r="Y33" s="1269"/>
      <c r="AA33" s="244"/>
    </row>
    <row r="34" spans="1:25" ht="21.75" customHeight="1">
      <c r="A34" s="62"/>
      <c r="B34" s="67" t="s">
        <v>42</v>
      </c>
      <c r="C34" s="1517" t="s">
        <v>466</v>
      </c>
      <c r="D34" s="1517"/>
      <c r="E34" s="674"/>
      <c r="F34" s="674"/>
      <c r="G34" s="674"/>
      <c r="H34" s="674">
        <v>1943100</v>
      </c>
      <c r="I34" s="674">
        <v>1943100</v>
      </c>
      <c r="J34" s="674">
        <v>1943100</v>
      </c>
      <c r="K34" s="1269">
        <f t="shared" si="4"/>
        <v>1</v>
      </c>
      <c r="L34" s="673">
        <f t="shared" si="26"/>
        <v>0</v>
      </c>
      <c r="M34" s="673">
        <f t="shared" si="26"/>
        <v>0</v>
      </c>
      <c r="N34" s="673">
        <f t="shared" si="26"/>
        <v>0</v>
      </c>
      <c r="O34" s="673">
        <f t="shared" si="26"/>
        <v>1943100</v>
      </c>
      <c r="P34" s="673">
        <f t="shared" si="26"/>
        <v>1943100</v>
      </c>
      <c r="Q34" s="673">
        <f t="shared" si="26"/>
        <v>1943100</v>
      </c>
      <c r="R34" s="1269">
        <f t="shared" si="6"/>
        <v>1</v>
      </c>
      <c r="S34" s="674">
        <v>0</v>
      </c>
      <c r="T34" s="674">
        <v>0</v>
      </c>
      <c r="U34" s="673">
        <v>0</v>
      </c>
      <c r="V34" s="673">
        <v>0</v>
      </c>
      <c r="W34" s="673">
        <v>0</v>
      </c>
      <c r="X34" s="673">
        <v>0</v>
      </c>
      <c r="Y34" s="1269"/>
    </row>
    <row r="35" spans="1:25" ht="21.75" customHeight="1">
      <c r="A35" s="62"/>
      <c r="B35" s="67" t="s">
        <v>66</v>
      </c>
      <c r="C35" s="1517" t="s">
        <v>585</v>
      </c>
      <c r="D35" s="1517"/>
      <c r="E35" s="674"/>
      <c r="F35" s="674"/>
      <c r="G35" s="674"/>
      <c r="H35" s="674"/>
      <c r="I35" s="674"/>
      <c r="J35" s="674"/>
      <c r="K35" s="1272"/>
      <c r="L35" s="675">
        <v>0</v>
      </c>
      <c r="M35" s="673">
        <f>F35</f>
        <v>0</v>
      </c>
      <c r="N35" s="673">
        <f>G35</f>
        <v>0</v>
      </c>
      <c r="O35" s="673">
        <f>H35</f>
        <v>0</v>
      </c>
      <c r="P35" s="673">
        <f>I35</f>
        <v>0</v>
      </c>
      <c r="Q35" s="673">
        <f>J35</f>
        <v>0</v>
      </c>
      <c r="R35" s="1272"/>
      <c r="S35" s="674">
        <v>0</v>
      </c>
      <c r="T35" s="674">
        <v>0</v>
      </c>
      <c r="U35" s="673">
        <v>0</v>
      </c>
      <c r="V35" s="673">
        <v>0</v>
      </c>
      <c r="W35" s="673">
        <v>0</v>
      </c>
      <c r="X35" s="673">
        <v>0</v>
      </c>
      <c r="Y35" s="1272"/>
    </row>
    <row r="36" spans="1:25" ht="21.75" customHeight="1">
      <c r="A36" s="62"/>
      <c r="B36" s="67" t="s">
        <v>67</v>
      </c>
      <c r="C36" s="1517" t="s">
        <v>349</v>
      </c>
      <c r="D36" s="1517"/>
      <c r="E36" s="674"/>
      <c r="F36" s="674"/>
      <c r="G36" s="674"/>
      <c r="H36" s="674"/>
      <c r="I36" s="674"/>
      <c r="J36" s="674"/>
      <c r="K36" s="1272"/>
      <c r="L36" s="675">
        <v>0</v>
      </c>
      <c r="M36" s="675">
        <v>0</v>
      </c>
      <c r="N36" s="675">
        <v>0</v>
      </c>
      <c r="O36" s="675">
        <v>0</v>
      </c>
      <c r="P36" s="675">
        <v>0</v>
      </c>
      <c r="Q36" s="675">
        <v>1</v>
      </c>
      <c r="R36" s="1272"/>
      <c r="S36" s="674">
        <v>0</v>
      </c>
      <c r="T36" s="674">
        <v>0</v>
      </c>
      <c r="U36" s="675">
        <v>0</v>
      </c>
      <c r="V36" s="675">
        <v>0</v>
      </c>
      <c r="W36" s="675">
        <v>0</v>
      </c>
      <c r="X36" s="675">
        <v>0</v>
      </c>
      <c r="Y36" s="1272"/>
    </row>
    <row r="37" spans="1:25" ht="21.75" customHeight="1">
      <c r="A37" s="62"/>
      <c r="B37" s="67" t="s">
        <v>345</v>
      </c>
      <c r="C37" s="1517" t="s">
        <v>310</v>
      </c>
      <c r="D37" s="1517"/>
      <c r="E37" s="281">
        <f aca="true" t="shared" si="27" ref="E37:J37">SUM(E38:E40)</f>
        <v>65614099</v>
      </c>
      <c r="F37" s="281">
        <f t="shared" si="27"/>
        <v>65614099</v>
      </c>
      <c r="G37" s="281">
        <f t="shared" si="27"/>
        <v>65614099</v>
      </c>
      <c r="H37" s="281">
        <f t="shared" si="27"/>
        <v>69424099</v>
      </c>
      <c r="I37" s="281">
        <f t="shared" si="27"/>
        <v>77540632</v>
      </c>
      <c r="J37" s="281">
        <f t="shared" si="27"/>
        <v>66328445</v>
      </c>
      <c r="K37" s="1271">
        <f t="shared" si="4"/>
        <v>0.8554024295288178</v>
      </c>
      <c r="L37" s="221">
        <f aca="true" t="shared" si="28" ref="L37:T37">SUM(L38:L40)</f>
        <v>16569271</v>
      </c>
      <c r="M37" s="221">
        <f t="shared" si="28"/>
        <v>16569271</v>
      </c>
      <c r="N37" s="221">
        <f>SUM(N38:N40)</f>
        <v>16569271</v>
      </c>
      <c r="O37" s="221">
        <f>SUM(O38:O40)</f>
        <v>20379271</v>
      </c>
      <c r="P37" s="221">
        <f>SUM(P38:P40)</f>
        <v>28495804</v>
      </c>
      <c r="Q37" s="221">
        <f>SUM(Q38:Q40)</f>
        <v>22075604</v>
      </c>
      <c r="R37" s="1271">
        <f t="shared" si="6"/>
        <v>0.7746966535845067</v>
      </c>
      <c r="S37" s="221">
        <f t="shared" si="28"/>
        <v>49044828</v>
      </c>
      <c r="T37" s="221">
        <f t="shared" si="28"/>
        <v>49044828</v>
      </c>
      <c r="U37" s="221">
        <f>SUM(U38:U40)</f>
        <v>49044828</v>
      </c>
      <c r="V37" s="221">
        <f>SUM(V38:V40)</f>
        <v>49044828</v>
      </c>
      <c r="W37" s="221">
        <f>SUM(W38:W40)</f>
        <v>49044828</v>
      </c>
      <c r="X37" s="221">
        <f>SUM(X38:X40)</f>
        <v>44252841</v>
      </c>
      <c r="Y37" s="1271">
        <f>+X37/W37</f>
        <v>0.9022937342139318</v>
      </c>
    </row>
    <row r="38" spans="1:25" ht="21.75" customHeight="1">
      <c r="A38" s="62"/>
      <c r="B38" s="67"/>
      <c r="C38" s="64" t="s">
        <v>346</v>
      </c>
      <c r="D38" s="462" t="s">
        <v>32</v>
      </c>
      <c r="E38" s="674">
        <f>189600+7964400</f>
        <v>8154000</v>
      </c>
      <c r="F38" s="674">
        <f>189600+7964400</f>
        <v>8154000</v>
      </c>
      <c r="G38" s="674">
        <f>189600+7964400</f>
        <v>8154000</v>
      </c>
      <c r="H38" s="674">
        <f>189600+7964400</f>
        <v>8154000</v>
      </c>
      <c r="I38" s="674">
        <v>10296700</v>
      </c>
      <c r="J38" s="674">
        <v>10296700</v>
      </c>
      <c r="K38" s="1269">
        <f t="shared" si="4"/>
        <v>1</v>
      </c>
      <c r="L38" s="673">
        <f aca="true" t="shared" si="29" ref="L38:Q38">E38</f>
        <v>8154000</v>
      </c>
      <c r="M38" s="673">
        <f t="shared" si="29"/>
        <v>8154000</v>
      </c>
      <c r="N38" s="673">
        <f t="shared" si="29"/>
        <v>8154000</v>
      </c>
      <c r="O38" s="673">
        <f t="shared" si="29"/>
        <v>8154000</v>
      </c>
      <c r="P38" s="673">
        <f t="shared" si="29"/>
        <v>10296700</v>
      </c>
      <c r="Q38" s="673">
        <f t="shared" si="29"/>
        <v>10296700</v>
      </c>
      <c r="R38" s="1269">
        <f t="shared" si="6"/>
        <v>1</v>
      </c>
      <c r="S38" s="674">
        <v>0</v>
      </c>
      <c r="T38" s="674">
        <v>0</v>
      </c>
      <c r="U38" s="673">
        <v>0</v>
      </c>
      <c r="V38" s="673">
        <v>0</v>
      </c>
      <c r="W38" s="673">
        <v>0</v>
      </c>
      <c r="X38" s="673">
        <v>0</v>
      </c>
      <c r="Y38" s="1269"/>
    </row>
    <row r="39" spans="1:28" ht="21.75" customHeight="1">
      <c r="A39" s="62"/>
      <c r="B39" s="67"/>
      <c r="C39" s="58" t="s">
        <v>347</v>
      </c>
      <c r="D39" s="184" t="s">
        <v>31</v>
      </c>
      <c r="E39" s="674">
        <v>49044828</v>
      </c>
      <c r="F39" s="674">
        <v>49044828</v>
      </c>
      <c r="G39" s="674">
        <v>49044828</v>
      </c>
      <c r="H39" s="674">
        <v>49044828</v>
      </c>
      <c r="I39" s="674">
        <f>49044828+6198000+677891</f>
        <v>55920719</v>
      </c>
      <c r="J39" s="674">
        <v>44930732</v>
      </c>
      <c r="K39" s="1272">
        <f t="shared" si="4"/>
        <v>0.8034720011378966</v>
      </c>
      <c r="L39" s="673">
        <f aca="true" t="shared" si="30" ref="L39:Q39">E39-S39</f>
        <v>0</v>
      </c>
      <c r="M39" s="673">
        <f t="shared" si="30"/>
        <v>0</v>
      </c>
      <c r="N39" s="673">
        <f t="shared" si="30"/>
        <v>0</v>
      </c>
      <c r="O39" s="673">
        <f t="shared" si="30"/>
        <v>0</v>
      </c>
      <c r="P39" s="673">
        <f t="shared" si="30"/>
        <v>6875891</v>
      </c>
      <c r="Q39" s="673">
        <f t="shared" si="30"/>
        <v>677891</v>
      </c>
      <c r="R39" s="1272">
        <f t="shared" si="6"/>
        <v>0.09858955006703858</v>
      </c>
      <c r="S39" s="674">
        <v>49044828</v>
      </c>
      <c r="T39" s="674">
        <v>49044828</v>
      </c>
      <c r="U39" s="673">
        <v>49044828</v>
      </c>
      <c r="V39" s="673">
        <v>49044828</v>
      </c>
      <c r="W39" s="673">
        <v>49044828</v>
      </c>
      <c r="X39" s="673">
        <v>44252841</v>
      </c>
      <c r="Y39" s="1272">
        <f>+X39/W39</f>
        <v>0.9022937342139318</v>
      </c>
      <c r="AB39" s="675"/>
    </row>
    <row r="40" spans="1:25" ht="21.75" customHeight="1" thickBot="1">
      <c r="A40" s="62"/>
      <c r="B40" s="67"/>
      <c r="C40" s="58" t="s">
        <v>348</v>
      </c>
      <c r="D40" s="184" t="s">
        <v>33</v>
      </c>
      <c r="E40" s="676">
        <f>65614099-8154000-49044828</f>
        <v>8415271</v>
      </c>
      <c r="F40" s="676">
        <f>65614099-8154000-49044828</f>
        <v>8415271</v>
      </c>
      <c r="G40" s="676">
        <f>65614099-8154000-49044828</f>
        <v>8415271</v>
      </c>
      <c r="H40" s="676">
        <f>65614099-8154000-49044828+3810000+103000-103000</f>
        <v>12225271</v>
      </c>
      <c r="I40" s="676">
        <f>65614099-8154000-49044828+3810000+103000-103000+716308-1373964+131306-375708</f>
        <v>11323213</v>
      </c>
      <c r="J40" s="676">
        <f>3810000+5790405+784300+716308</f>
        <v>11101013</v>
      </c>
      <c r="K40" s="1269">
        <f t="shared" si="4"/>
        <v>0.980376594523127</v>
      </c>
      <c r="L40" s="673">
        <f aca="true" t="shared" si="31" ref="L40:Q40">E40</f>
        <v>8415271</v>
      </c>
      <c r="M40" s="673">
        <f t="shared" si="31"/>
        <v>8415271</v>
      </c>
      <c r="N40" s="673">
        <f t="shared" si="31"/>
        <v>8415271</v>
      </c>
      <c r="O40" s="673">
        <f t="shared" si="31"/>
        <v>12225271</v>
      </c>
      <c r="P40" s="673">
        <f t="shared" si="31"/>
        <v>11323213</v>
      </c>
      <c r="Q40" s="673">
        <f t="shared" si="31"/>
        <v>11101013</v>
      </c>
      <c r="R40" s="1269">
        <f t="shared" si="6"/>
        <v>0.980376594523127</v>
      </c>
      <c r="S40" s="676">
        <v>0</v>
      </c>
      <c r="T40" s="676">
        <v>0</v>
      </c>
      <c r="U40" s="673">
        <v>0</v>
      </c>
      <c r="V40" s="673">
        <v>0</v>
      </c>
      <c r="W40" s="673">
        <v>0</v>
      </c>
      <c r="X40" s="673">
        <v>0</v>
      </c>
      <c r="Y40" s="1269"/>
    </row>
    <row r="41" spans="1:25" ht="21.75" customHeight="1" thickBot="1">
      <c r="A41" s="69" t="s">
        <v>10</v>
      </c>
      <c r="B41" s="1525" t="s">
        <v>311</v>
      </c>
      <c r="C41" s="1525"/>
      <c r="D41" s="1525"/>
      <c r="E41" s="273">
        <f aca="true" t="shared" si="32" ref="E41:J41">SUM(E42:E43)</f>
        <v>20360661</v>
      </c>
      <c r="F41" s="273">
        <f t="shared" si="32"/>
        <v>20360661</v>
      </c>
      <c r="G41" s="273">
        <f t="shared" si="32"/>
        <v>20360661</v>
      </c>
      <c r="H41" s="273">
        <f t="shared" si="32"/>
        <v>111544661</v>
      </c>
      <c r="I41" s="273">
        <f t="shared" si="32"/>
        <v>146373972</v>
      </c>
      <c r="J41" s="273">
        <f t="shared" si="32"/>
        <v>145299477</v>
      </c>
      <c r="K41" s="1273">
        <f t="shared" si="4"/>
        <v>0.9926592481892887</v>
      </c>
      <c r="L41" s="72">
        <f aca="true" t="shared" si="33" ref="L41:Q41">L42+L43+L47</f>
        <v>20360661</v>
      </c>
      <c r="M41" s="72">
        <f t="shared" si="33"/>
        <v>20360661</v>
      </c>
      <c r="N41" s="72">
        <f t="shared" si="33"/>
        <v>20360661</v>
      </c>
      <c r="O41" s="72">
        <f t="shared" si="33"/>
        <v>111544661</v>
      </c>
      <c r="P41" s="72">
        <f t="shared" si="33"/>
        <v>146373972</v>
      </c>
      <c r="Q41" s="72">
        <f t="shared" si="33"/>
        <v>145299477</v>
      </c>
      <c r="R41" s="1273">
        <f t="shared" si="6"/>
        <v>0.9926592481892887</v>
      </c>
      <c r="S41" s="273">
        <f aca="true" t="shared" si="34" ref="S41:X41">SUM(S42:S43)</f>
        <v>0</v>
      </c>
      <c r="T41" s="273">
        <f t="shared" si="34"/>
        <v>0</v>
      </c>
      <c r="U41" s="72">
        <f t="shared" si="34"/>
        <v>0</v>
      </c>
      <c r="V41" s="72">
        <f t="shared" si="34"/>
        <v>0</v>
      </c>
      <c r="W41" s="72">
        <f t="shared" si="34"/>
        <v>0</v>
      </c>
      <c r="X41" s="72">
        <f t="shared" si="34"/>
        <v>0</v>
      </c>
      <c r="Y41" s="1273"/>
    </row>
    <row r="42" spans="1:25" ht="21.75" customHeight="1">
      <c r="A42" s="63"/>
      <c r="B42" s="70" t="s">
        <v>312</v>
      </c>
      <c r="C42" s="1529" t="s">
        <v>314</v>
      </c>
      <c r="D42" s="1529"/>
      <c r="E42" s="678"/>
      <c r="F42" s="678"/>
      <c r="G42" s="678"/>
      <c r="H42" s="678"/>
      <c r="I42" s="678"/>
      <c r="J42" s="678"/>
      <c r="K42" s="1274"/>
      <c r="L42" s="673">
        <f aca="true" t="shared" si="35" ref="L42:Q42">E42-S42</f>
        <v>0</v>
      </c>
      <c r="M42" s="673">
        <f t="shared" si="35"/>
        <v>0</v>
      </c>
      <c r="N42" s="673">
        <f t="shared" si="35"/>
        <v>0</v>
      </c>
      <c r="O42" s="673">
        <f t="shared" si="35"/>
        <v>0</v>
      </c>
      <c r="P42" s="673">
        <f t="shared" si="35"/>
        <v>0</v>
      </c>
      <c r="Q42" s="673">
        <f t="shared" si="35"/>
        <v>0</v>
      </c>
      <c r="R42" s="1274"/>
      <c r="S42" s="678">
        <v>0</v>
      </c>
      <c r="T42" s="678">
        <v>0</v>
      </c>
      <c r="U42" s="673">
        <v>0</v>
      </c>
      <c r="V42" s="673">
        <v>0</v>
      </c>
      <c r="W42" s="673">
        <v>0</v>
      </c>
      <c r="X42" s="673">
        <v>0</v>
      </c>
      <c r="Y42" s="1274"/>
    </row>
    <row r="43" spans="1:25" ht="21.75" customHeight="1">
      <c r="A43" s="62"/>
      <c r="B43" s="59" t="s">
        <v>313</v>
      </c>
      <c r="C43" s="1517" t="s">
        <v>315</v>
      </c>
      <c r="D43" s="1517"/>
      <c r="E43" s="281">
        <f aca="true" t="shared" si="36" ref="E43:J43">SUM(E44:E46)</f>
        <v>20360661</v>
      </c>
      <c r="F43" s="281">
        <f t="shared" si="36"/>
        <v>20360661</v>
      </c>
      <c r="G43" s="281">
        <f t="shared" si="36"/>
        <v>20360661</v>
      </c>
      <c r="H43" s="281">
        <f t="shared" si="36"/>
        <v>111544661</v>
      </c>
      <c r="I43" s="281">
        <f t="shared" si="36"/>
        <v>146373972</v>
      </c>
      <c r="J43" s="281">
        <f t="shared" si="36"/>
        <v>145299477</v>
      </c>
      <c r="K43" s="1271">
        <f t="shared" si="4"/>
        <v>0.9926592481892887</v>
      </c>
      <c r="L43" s="221">
        <f aca="true" t="shared" si="37" ref="L43:Q43">SUM(L44:L46)</f>
        <v>20360661</v>
      </c>
      <c r="M43" s="221">
        <f t="shared" si="37"/>
        <v>20360661</v>
      </c>
      <c r="N43" s="221">
        <f t="shared" si="37"/>
        <v>20360661</v>
      </c>
      <c r="O43" s="221">
        <f t="shared" si="37"/>
        <v>111544661</v>
      </c>
      <c r="P43" s="221">
        <f t="shared" si="37"/>
        <v>146373972</v>
      </c>
      <c r="Q43" s="221">
        <f t="shared" si="37"/>
        <v>145299477</v>
      </c>
      <c r="R43" s="1271">
        <f t="shared" si="6"/>
        <v>0.9926592481892887</v>
      </c>
      <c r="S43" s="281">
        <f aca="true" t="shared" si="38" ref="S43:X43">SUM(S44:S46)</f>
        <v>0</v>
      </c>
      <c r="T43" s="281">
        <f t="shared" si="38"/>
        <v>0</v>
      </c>
      <c r="U43" s="221">
        <f t="shared" si="38"/>
        <v>0</v>
      </c>
      <c r="V43" s="221">
        <f t="shared" si="38"/>
        <v>0</v>
      </c>
      <c r="W43" s="221">
        <f t="shared" si="38"/>
        <v>0</v>
      </c>
      <c r="X43" s="221">
        <f t="shared" si="38"/>
        <v>0</v>
      </c>
      <c r="Y43" s="1271"/>
    </row>
    <row r="44" spans="1:25" ht="21.75" customHeight="1">
      <c r="A44" s="62"/>
      <c r="B44" s="70"/>
      <c r="C44" s="64" t="s">
        <v>316</v>
      </c>
      <c r="D44" s="462" t="s">
        <v>32</v>
      </c>
      <c r="E44" s="674">
        <v>0</v>
      </c>
      <c r="F44" s="674">
        <v>0</v>
      </c>
      <c r="G44" s="674">
        <v>0</v>
      </c>
      <c r="H44" s="674">
        <v>0</v>
      </c>
      <c r="I44" s="674">
        <v>0</v>
      </c>
      <c r="J44" s="674">
        <v>0</v>
      </c>
      <c r="K44" s="1272"/>
      <c r="L44" s="675"/>
      <c r="M44" s="675"/>
      <c r="N44" s="675"/>
      <c r="O44" s="675"/>
      <c r="P44" s="675"/>
      <c r="Q44" s="675"/>
      <c r="R44" s="1272"/>
      <c r="S44" s="674">
        <v>0</v>
      </c>
      <c r="T44" s="674">
        <v>0</v>
      </c>
      <c r="U44" s="675">
        <v>0</v>
      </c>
      <c r="V44" s="675">
        <v>0</v>
      </c>
      <c r="W44" s="675">
        <v>0</v>
      </c>
      <c r="X44" s="675">
        <v>0</v>
      </c>
      <c r="Y44" s="1272"/>
    </row>
    <row r="45" spans="1:25" ht="21.75" customHeight="1">
      <c r="A45" s="62"/>
      <c r="B45" s="59"/>
      <c r="C45" s="58" t="s">
        <v>317</v>
      </c>
      <c r="D45" s="462" t="s">
        <v>31</v>
      </c>
      <c r="E45" s="674">
        <v>20360661</v>
      </c>
      <c r="F45" s="674">
        <v>20360661</v>
      </c>
      <c r="G45" s="674">
        <v>20360661</v>
      </c>
      <c r="H45" s="674">
        <v>20360661</v>
      </c>
      <c r="I45" s="674">
        <v>20360661</v>
      </c>
      <c r="J45" s="674">
        <v>18266361</v>
      </c>
      <c r="K45" s="1272">
        <f t="shared" si="4"/>
        <v>0.8971398816570837</v>
      </c>
      <c r="L45" s="673">
        <f aca="true" t="shared" si="39" ref="L45:Q45">E45-S45</f>
        <v>20360661</v>
      </c>
      <c r="M45" s="673">
        <f t="shared" si="39"/>
        <v>20360661</v>
      </c>
      <c r="N45" s="673">
        <f t="shared" si="39"/>
        <v>20360661</v>
      </c>
      <c r="O45" s="673">
        <f t="shared" si="39"/>
        <v>20360661</v>
      </c>
      <c r="P45" s="673">
        <f t="shared" si="39"/>
        <v>20360661</v>
      </c>
      <c r="Q45" s="673">
        <f t="shared" si="39"/>
        <v>18266361</v>
      </c>
      <c r="R45" s="1272">
        <f t="shared" si="6"/>
        <v>0.8971398816570837</v>
      </c>
      <c r="S45" s="674">
        <v>0</v>
      </c>
      <c r="T45" s="674">
        <v>0</v>
      </c>
      <c r="U45" s="673">
        <v>0</v>
      </c>
      <c r="V45" s="673">
        <v>0</v>
      </c>
      <c r="W45" s="673">
        <v>0</v>
      </c>
      <c r="X45" s="673">
        <v>0</v>
      </c>
      <c r="Y45" s="1272"/>
    </row>
    <row r="46" spans="1:25" ht="21.75" customHeight="1">
      <c r="A46" s="66"/>
      <c r="B46" s="70"/>
      <c r="C46" s="64" t="s">
        <v>318</v>
      </c>
      <c r="D46" s="462" t="s">
        <v>319</v>
      </c>
      <c r="E46" s="674"/>
      <c r="F46" s="674"/>
      <c r="G46" s="674"/>
      <c r="H46" s="674">
        <v>91184000</v>
      </c>
      <c r="I46" s="674">
        <f>91184000-156338+29986400+4999249</f>
        <v>126013311</v>
      </c>
      <c r="J46" s="674">
        <f>126169649+863467</f>
        <v>127033116</v>
      </c>
      <c r="K46" s="1272">
        <f t="shared" si="4"/>
        <v>1.008092835525923</v>
      </c>
      <c r="L46" s="675"/>
      <c r="M46" s="675"/>
      <c r="N46" s="675"/>
      <c r="O46" s="673">
        <f>H46-V46</f>
        <v>91184000</v>
      </c>
      <c r="P46" s="673">
        <f>I46-W46</f>
        <v>126013311</v>
      </c>
      <c r="Q46" s="673">
        <f>J46-X46</f>
        <v>127033116</v>
      </c>
      <c r="R46" s="1272">
        <f t="shared" si="6"/>
        <v>1.008092835525923</v>
      </c>
      <c r="S46" s="674">
        <v>0</v>
      </c>
      <c r="T46" s="674">
        <v>0</v>
      </c>
      <c r="U46" s="675">
        <v>0</v>
      </c>
      <c r="V46" s="675">
        <v>0</v>
      </c>
      <c r="W46" s="675">
        <v>0</v>
      </c>
      <c r="X46" s="675">
        <v>0</v>
      </c>
      <c r="Y46" s="1272"/>
    </row>
    <row r="47" spans="1:25" ht="21.75" customHeight="1" thickBot="1">
      <c r="A47" s="284"/>
      <c r="B47" s="59" t="s">
        <v>342</v>
      </c>
      <c r="C47" s="1517" t="s">
        <v>462</v>
      </c>
      <c r="D47" s="1517"/>
      <c r="E47" s="674">
        <v>0</v>
      </c>
      <c r="F47" s="674">
        <v>0</v>
      </c>
      <c r="G47" s="674">
        <v>0</v>
      </c>
      <c r="H47" s="674">
        <v>0</v>
      </c>
      <c r="I47" s="674">
        <v>0</v>
      </c>
      <c r="J47" s="674">
        <v>0</v>
      </c>
      <c r="K47" s="1269"/>
      <c r="L47" s="673"/>
      <c r="M47" s="673"/>
      <c r="N47" s="673"/>
      <c r="O47" s="673"/>
      <c r="P47" s="673"/>
      <c r="Q47" s="673"/>
      <c r="R47" s="1269"/>
      <c r="S47" s="674">
        <v>0</v>
      </c>
      <c r="T47" s="674">
        <v>0</v>
      </c>
      <c r="U47" s="673">
        <v>0</v>
      </c>
      <c r="V47" s="673">
        <v>0</v>
      </c>
      <c r="W47" s="673">
        <v>0</v>
      </c>
      <c r="X47" s="673">
        <v>0</v>
      </c>
      <c r="Y47" s="1269"/>
    </row>
    <row r="48" spans="1:25" ht="21.75" customHeight="1" hidden="1" thickBot="1">
      <c r="A48" s="284"/>
      <c r="B48" s="70"/>
      <c r="C48" s="1523"/>
      <c r="D48" s="1523"/>
      <c r="E48" s="416"/>
      <c r="F48" s="416"/>
      <c r="G48" s="416"/>
      <c r="H48" s="416"/>
      <c r="I48" s="416"/>
      <c r="J48" s="416"/>
      <c r="K48" s="1275" t="e">
        <f t="shared" si="4"/>
        <v>#DIV/0!</v>
      </c>
      <c r="L48" s="417"/>
      <c r="M48" s="417"/>
      <c r="N48" s="417"/>
      <c r="O48" s="417"/>
      <c r="P48" s="417"/>
      <c r="Q48" s="417"/>
      <c r="R48" s="1275" t="e">
        <f t="shared" si="6"/>
        <v>#DIV/0!</v>
      </c>
      <c r="S48" s="416"/>
      <c r="T48" s="416"/>
      <c r="U48" s="417"/>
      <c r="V48" s="417"/>
      <c r="W48" s="417"/>
      <c r="X48" s="417"/>
      <c r="Y48" s="1275"/>
    </row>
    <row r="49" spans="1:25" ht="21.75" customHeight="1" thickBot="1">
      <c r="A49" s="69" t="s">
        <v>11</v>
      </c>
      <c r="B49" s="1525" t="s">
        <v>73</v>
      </c>
      <c r="C49" s="1525"/>
      <c r="D49" s="1525"/>
      <c r="E49" s="273">
        <f aca="true" t="shared" si="40" ref="E49:J49">E50+E51</f>
        <v>60000</v>
      </c>
      <c r="F49" s="273">
        <f t="shared" si="40"/>
        <v>75000</v>
      </c>
      <c r="G49" s="273">
        <f t="shared" si="40"/>
        <v>120000</v>
      </c>
      <c r="H49" s="273">
        <f t="shared" si="40"/>
        <v>260000</v>
      </c>
      <c r="I49" s="273">
        <f t="shared" si="40"/>
        <v>260000</v>
      </c>
      <c r="J49" s="273">
        <f t="shared" si="40"/>
        <v>260000</v>
      </c>
      <c r="K49" s="1273">
        <f t="shared" si="4"/>
        <v>1</v>
      </c>
      <c r="L49" s="72">
        <f aca="true" t="shared" si="41" ref="L49:Q49">L50+L51</f>
        <v>60000</v>
      </c>
      <c r="M49" s="72">
        <f t="shared" si="41"/>
        <v>75000</v>
      </c>
      <c r="N49" s="72">
        <f t="shared" si="41"/>
        <v>120000</v>
      </c>
      <c r="O49" s="72">
        <f t="shared" si="41"/>
        <v>260000</v>
      </c>
      <c r="P49" s="72">
        <f t="shared" si="41"/>
        <v>260000</v>
      </c>
      <c r="Q49" s="72">
        <f t="shared" si="41"/>
        <v>260000</v>
      </c>
      <c r="R49" s="1273">
        <f t="shared" si="6"/>
        <v>1</v>
      </c>
      <c r="S49" s="273">
        <f aca="true" t="shared" si="42" ref="S49:X49">S50+S51</f>
        <v>0</v>
      </c>
      <c r="T49" s="273">
        <f t="shared" si="42"/>
        <v>0</v>
      </c>
      <c r="U49" s="72">
        <f t="shared" si="42"/>
        <v>0</v>
      </c>
      <c r="V49" s="72">
        <f t="shared" si="42"/>
        <v>0</v>
      </c>
      <c r="W49" s="72">
        <f t="shared" si="42"/>
        <v>0</v>
      </c>
      <c r="X49" s="72">
        <f t="shared" si="42"/>
        <v>0</v>
      </c>
      <c r="Y49" s="1273"/>
    </row>
    <row r="50" spans="1:25" s="701" customFormat="1" ht="21.75" customHeight="1">
      <c r="A50" s="700"/>
      <c r="B50" s="70" t="s">
        <v>43</v>
      </c>
      <c r="C50" s="1529" t="s">
        <v>331</v>
      </c>
      <c r="D50" s="1529"/>
      <c r="E50" s="678">
        <v>60000</v>
      </c>
      <c r="F50" s="678">
        <v>75000</v>
      </c>
      <c r="G50" s="678">
        <v>120000</v>
      </c>
      <c r="H50" s="678">
        <v>160000</v>
      </c>
      <c r="I50" s="678">
        <v>160000</v>
      </c>
      <c r="J50" s="678">
        <v>160000</v>
      </c>
      <c r="K50" s="1269">
        <f t="shared" si="4"/>
        <v>1</v>
      </c>
      <c r="L50" s="673">
        <f aca="true" t="shared" si="43" ref="L50:Q51">E50</f>
        <v>60000</v>
      </c>
      <c r="M50" s="673">
        <f t="shared" si="43"/>
        <v>75000</v>
      </c>
      <c r="N50" s="673">
        <f t="shared" si="43"/>
        <v>120000</v>
      </c>
      <c r="O50" s="673">
        <f t="shared" si="43"/>
        <v>160000</v>
      </c>
      <c r="P50" s="673">
        <f t="shared" si="43"/>
        <v>160000</v>
      </c>
      <c r="Q50" s="673">
        <f t="shared" si="43"/>
        <v>160000</v>
      </c>
      <c r="R50" s="1269">
        <f t="shared" si="6"/>
        <v>1</v>
      </c>
      <c r="S50" s="678">
        <v>0</v>
      </c>
      <c r="T50" s="678">
        <v>0</v>
      </c>
      <c r="U50" s="673">
        <v>0</v>
      </c>
      <c r="V50" s="673">
        <v>0</v>
      </c>
      <c r="W50" s="673">
        <v>0</v>
      </c>
      <c r="X50" s="673">
        <v>0</v>
      </c>
      <c r="Y50" s="1269"/>
    </row>
    <row r="51" spans="1:25" s="701" customFormat="1" ht="21.75" customHeight="1" thickBot="1">
      <c r="A51" s="62"/>
      <c r="B51" s="58" t="s">
        <v>44</v>
      </c>
      <c r="C51" s="1517" t="s">
        <v>448</v>
      </c>
      <c r="D51" s="1517"/>
      <c r="E51" s="679"/>
      <c r="F51" s="679"/>
      <c r="G51" s="679"/>
      <c r="H51" s="679">
        <v>100000</v>
      </c>
      <c r="I51" s="679">
        <v>100000</v>
      </c>
      <c r="J51" s="679">
        <v>100000</v>
      </c>
      <c r="K51" s="1269">
        <f t="shared" si="4"/>
        <v>1</v>
      </c>
      <c r="L51" s="673">
        <f t="shared" si="43"/>
        <v>0</v>
      </c>
      <c r="M51" s="673">
        <f t="shared" si="43"/>
        <v>0</v>
      </c>
      <c r="N51" s="673">
        <f t="shared" si="43"/>
        <v>0</v>
      </c>
      <c r="O51" s="673">
        <f t="shared" si="43"/>
        <v>100000</v>
      </c>
      <c r="P51" s="673">
        <f t="shared" si="43"/>
        <v>100000</v>
      </c>
      <c r="Q51" s="673">
        <f t="shared" si="43"/>
        <v>100000</v>
      </c>
      <c r="R51" s="1269">
        <f t="shared" si="6"/>
        <v>1</v>
      </c>
      <c r="S51" s="679">
        <v>0</v>
      </c>
      <c r="T51" s="679">
        <v>0</v>
      </c>
      <c r="U51" s="673">
        <v>0</v>
      </c>
      <c r="V51" s="673">
        <v>0</v>
      </c>
      <c r="W51" s="673">
        <v>0</v>
      </c>
      <c r="X51" s="673">
        <v>0</v>
      </c>
      <c r="Y51" s="1269"/>
    </row>
    <row r="52" spans="1:25" ht="21.75" customHeight="1" thickBot="1">
      <c r="A52" s="69" t="s">
        <v>12</v>
      </c>
      <c r="B52" s="1525" t="s">
        <v>320</v>
      </c>
      <c r="C52" s="1525"/>
      <c r="D52" s="1525"/>
      <c r="E52" s="270">
        <f aca="true" t="shared" si="44" ref="E52:J52">SUM(E53:E54)</f>
        <v>0</v>
      </c>
      <c r="F52" s="270">
        <f t="shared" si="44"/>
        <v>0</v>
      </c>
      <c r="G52" s="270">
        <f t="shared" si="44"/>
        <v>0</v>
      </c>
      <c r="H52" s="270">
        <f t="shared" si="44"/>
        <v>0</v>
      </c>
      <c r="I52" s="270">
        <f t="shared" si="44"/>
        <v>472441</v>
      </c>
      <c r="J52" s="270">
        <f t="shared" si="44"/>
        <v>472441</v>
      </c>
      <c r="K52" s="1276">
        <f t="shared" si="4"/>
        <v>1</v>
      </c>
      <c r="L52" s="39">
        <f aca="true" t="shared" si="45" ref="L52:Q52">SUM(L53:L54)</f>
        <v>0</v>
      </c>
      <c r="M52" s="39">
        <f t="shared" si="45"/>
        <v>0</v>
      </c>
      <c r="N52" s="39">
        <f t="shared" si="45"/>
        <v>0</v>
      </c>
      <c r="O52" s="39">
        <f t="shared" si="45"/>
        <v>0</v>
      </c>
      <c r="P52" s="39">
        <f t="shared" si="45"/>
        <v>472441</v>
      </c>
      <c r="Q52" s="39">
        <f t="shared" si="45"/>
        <v>472442</v>
      </c>
      <c r="R52" s="1276">
        <f t="shared" si="6"/>
        <v>1.0000021166664197</v>
      </c>
      <c r="S52" s="270">
        <f aca="true" t="shared" si="46" ref="S52:X52">SUM(S53:S54)</f>
        <v>0</v>
      </c>
      <c r="T52" s="270">
        <f t="shared" si="46"/>
        <v>0</v>
      </c>
      <c r="U52" s="39">
        <f t="shared" si="46"/>
        <v>0</v>
      </c>
      <c r="V52" s="39">
        <f t="shared" si="46"/>
        <v>0</v>
      </c>
      <c r="W52" s="39">
        <f t="shared" si="46"/>
        <v>0</v>
      </c>
      <c r="X52" s="39">
        <f t="shared" si="46"/>
        <v>0</v>
      </c>
      <c r="Y52" s="1276"/>
    </row>
    <row r="53" spans="1:25" s="6" customFormat="1" ht="21.75" customHeight="1">
      <c r="A53" s="71"/>
      <c r="B53" s="64" t="s">
        <v>45</v>
      </c>
      <c r="C53" s="1529" t="s">
        <v>322</v>
      </c>
      <c r="D53" s="1529"/>
      <c r="E53" s="680"/>
      <c r="F53" s="680"/>
      <c r="G53" s="680"/>
      <c r="H53" s="680"/>
      <c r="I53" s="680">
        <v>472441</v>
      </c>
      <c r="J53" s="680">
        <v>472441</v>
      </c>
      <c r="K53" s="1269">
        <f t="shared" si="4"/>
        <v>1</v>
      </c>
      <c r="L53" s="673">
        <f aca="true" t="shared" si="47" ref="L53:Q53">E53</f>
        <v>0</v>
      </c>
      <c r="M53" s="673">
        <f t="shared" si="47"/>
        <v>0</v>
      </c>
      <c r="N53" s="673">
        <f t="shared" si="47"/>
        <v>0</v>
      </c>
      <c r="O53" s="673">
        <f t="shared" si="47"/>
        <v>0</v>
      </c>
      <c r="P53" s="673">
        <f t="shared" si="47"/>
        <v>472441</v>
      </c>
      <c r="Q53" s="673">
        <f t="shared" si="47"/>
        <v>472441</v>
      </c>
      <c r="R53" s="1269">
        <f t="shared" si="6"/>
        <v>1</v>
      </c>
      <c r="S53" s="680">
        <v>0</v>
      </c>
      <c r="T53" s="680">
        <v>0</v>
      </c>
      <c r="U53" s="673">
        <v>0</v>
      </c>
      <c r="V53" s="673">
        <v>0</v>
      </c>
      <c r="W53" s="673">
        <v>0</v>
      </c>
      <c r="X53" s="673">
        <v>0</v>
      </c>
      <c r="Y53" s="1269"/>
    </row>
    <row r="54" spans="1:25" ht="21.75" customHeight="1" thickBot="1">
      <c r="A54" s="66"/>
      <c r="B54" s="67" t="s">
        <v>321</v>
      </c>
      <c r="C54" s="1530" t="s">
        <v>323</v>
      </c>
      <c r="D54" s="1530"/>
      <c r="E54" s="681">
        <v>0</v>
      </c>
      <c r="F54" s="681">
        <v>0</v>
      </c>
      <c r="G54" s="681">
        <v>0</v>
      </c>
      <c r="H54" s="681">
        <v>0</v>
      </c>
      <c r="I54" s="681">
        <v>0</v>
      </c>
      <c r="J54" s="681">
        <v>0</v>
      </c>
      <c r="K54" s="1277"/>
      <c r="L54" s="682">
        <v>0</v>
      </c>
      <c r="M54" s="682">
        <v>0</v>
      </c>
      <c r="N54" s="682">
        <v>0</v>
      </c>
      <c r="O54" s="682">
        <v>0</v>
      </c>
      <c r="P54" s="682">
        <v>0</v>
      </c>
      <c r="Q54" s="682">
        <v>1</v>
      </c>
      <c r="R54" s="1277"/>
      <c r="S54" s="681">
        <v>0</v>
      </c>
      <c r="T54" s="681">
        <v>0</v>
      </c>
      <c r="U54" s="682">
        <v>0</v>
      </c>
      <c r="V54" s="682">
        <v>0</v>
      </c>
      <c r="W54" s="682">
        <v>0</v>
      </c>
      <c r="X54" s="682">
        <v>0</v>
      </c>
      <c r="Y54" s="1277"/>
    </row>
    <row r="55" spans="1:25" ht="21.75" customHeight="1" thickBot="1">
      <c r="A55" s="69" t="s">
        <v>13</v>
      </c>
      <c r="B55" s="1536" t="s">
        <v>75</v>
      </c>
      <c r="C55" s="1536"/>
      <c r="D55" s="1536"/>
      <c r="E55" s="270">
        <f aca="true" t="shared" si="48" ref="E55:J55">E7+E21+E41+E49+E52+E32</f>
        <v>593861724</v>
      </c>
      <c r="F55" s="270">
        <f t="shared" si="48"/>
        <v>594089124</v>
      </c>
      <c r="G55" s="270">
        <f t="shared" si="48"/>
        <v>594259124</v>
      </c>
      <c r="H55" s="270">
        <f t="shared" si="48"/>
        <v>715572432</v>
      </c>
      <c r="I55" s="270">
        <f t="shared" si="48"/>
        <v>796016107</v>
      </c>
      <c r="J55" s="270">
        <f t="shared" si="48"/>
        <v>779136348</v>
      </c>
      <c r="K55" s="1276">
        <f t="shared" si="4"/>
        <v>0.9787947017006781</v>
      </c>
      <c r="L55" s="39">
        <f aca="true" t="shared" si="49" ref="L55:Q55">L7+L21+L41+L49+L52+L32</f>
        <v>515149122</v>
      </c>
      <c r="M55" s="39">
        <f t="shared" si="49"/>
        <v>515376522</v>
      </c>
      <c r="N55" s="39">
        <f t="shared" si="49"/>
        <v>515336522</v>
      </c>
      <c r="O55" s="39">
        <f t="shared" si="49"/>
        <v>634919830</v>
      </c>
      <c r="P55" s="39">
        <f t="shared" si="49"/>
        <v>719272599</v>
      </c>
      <c r="Q55" s="39">
        <f t="shared" si="49"/>
        <v>720741170</v>
      </c>
      <c r="R55" s="1276">
        <f t="shared" si="6"/>
        <v>1.0020417446765548</v>
      </c>
      <c r="S55" s="270">
        <f aca="true" t="shared" si="50" ref="S55:X55">S7+S21+S41+S49+S52+S32</f>
        <v>78712602</v>
      </c>
      <c r="T55" s="270">
        <f t="shared" si="50"/>
        <v>78712602</v>
      </c>
      <c r="U55" s="39">
        <f t="shared" si="50"/>
        <v>78922602</v>
      </c>
      <c r="V55" s="39">
        <f t="shared" si="50"/>
        <v>80652602</v>
      </c>
      <c r="W55" s="39">
        <f t="shared" si="50"/>
        <v>76743508</v>
      </c>
      <c r="X55" s="39">
        <f t="shared" si="50"/>
        <v>58395181</v>
      </c>
      <c r="Y55" s="1276">
        <f>+X55/W55</f>
        <v>0.760913626726576</v>
      </c>
    </row>
    <row r="56" spans="1:25" ht="24" customHeight="1" thickBot="1">
      <c r="A56" s="65" t="s">
        <v>56</v>
      </c>
      <c r="B56" s="1525" t="s">
        <v>324</v>
      </c>
      <c r="C56" s="1525"/>
      <c r="D56" s="1525"/>
      <c r="E56" s="270">
        <f aca="true" t="shared" si="51" ref="E56:J56">SUM(E57:E59)</f>
        <v>189615586</v>
      </c>
      <c r="F56" s="270">
        <f t="shared" si="51"/>
        <v>189615586</v>
      </c>
      <c r="G56" s="270">
        <f t="shared" si="51"/>
        <v>189615586</v>
      </c>
      <c r="H56" s="270">
        <f t="shared" si="51"/>
        <v>189615586</v>
      </c>
      <c r="I56" s="270">
        <f t="shared" si="51"/>
        <v>200528232</v>
      </c>
      <c r="J56" s="270">
        <f t="shared" si="51"/>
        <v>200528232</v>
      </c>
      <c r="K56" s="1276">
        <f t="shared" si="4"/>
        <v>1</v>
      </c>
      <c r="L56" s="39">
        <f aca="true" t="shared" si="52" ref="L56:Q56">SUM(L57:L59)</f>
        <v>169715553</v>
      </c>
      <c r="M56" s="39">
        <f t="shared" si="52"/>
        <v>169715553</v>
      </c>
      <c r="N56" s="39">
        <f t="shared" si="52"/>
        <v>169715553</v>
      </c>
      <c r="O56" s="39">
        <f t="shared" si="52"/>
        <v>169715553</v>
      </c>
      <c r="P56" s="39">
        <f t="shared" si="52"/>
        <v>180628199</v>
      </c>
      <c r="Q56" s="39">
        <f t="shared" si="52"/>
        <v>180628199</v>
      </c>
      <c r="R56" s="1276">
        <f t="shared" si="6"/>
        <v>1</v>
      </c>
      <c r="S56" s="270">
        <f aca="true" t="shared" si="53" ref="S56:X56">SUM(S57:S59)</f>
        <v>19900033</v>
      </c>
      <c r="T56" s="270">
        <f t="shared" si="53"/>
        <v>19900033</v>
      </c>
      <c r="U56" s="39">
        <f t="shared" si="53"/>
        <v>19900033</v>
      </c>
      <c r="V56" s="39">
        <f t="shared" si="53"/>
        <v>19900033</v>
      </c>
      <c r="W56" s="39">
        <f t="shared" si="53"/>
        <v>19900033</v>
      </c>
      <c r="X56" s="39">
        <f t="shared" si="53"/>
        <v>19900033</v>
      </c>
      <c r="Y56" s="1276">
        <f>+X56/W56</f>
        <v>1</v>
      </c>
    </row>
    <row r="57" spans="1:25" ht="21.75" customHeight="1">
      <c r="A57" s="63"/>
      <c r="B57" s="64" t="s">
        <v>46</v>
      </c>
      <c r="C57" s="1529" t="s">
        <v>527</v>
      </c>
      <c r="D57" s="1529"/>
      <c r="E57" s="680"/>
      <c r="F57" s="680"/>
      <c r="G57" s="680"/>
      <c r="H57" s="680"/>
      <c r="I57" s="680">
        <v>10912646</v>
      </c>
      <c r="J57" s="680">
        <v>10912646</v>
      </c>
      <c r="K57" s="1269">
        <f t="shared" si="4"/>
        <v>1</v>
      </c>
      <c r="L57" s="673">
        <f aca="true" t="shared" si="54" ref="L57:Q58">E57</f>
        <v>0</v>
      </c>
      <c r="M57" s="673">
        <f t="shared" si="54"/>
        <v>0</v>
      </c>
      <c r="N57" s="673">
        <f t="shared" si="54"/>
        <v>0</v>
      </c>
      <c r="O57" s="673">
        <f t="shared" si="54"/>
        <v>0</v>
      </c>
      <c r="P57" s="673">
        <f t="shared" si="54"/>
        <v>10912646</v>
      </c>
      <c r="Q57" s="673">
        <f t="shared" si="54"/>
        <v>10912646</v>
      </c>
      <c r="R57" s="1269">
        <f t="shared" si="6"/>
        <v>1</v>
      </c>
      <c r="S57" s="680">
        <v>0</v>
      </c>
      <c r="T57" s="680">
        <v>0</v>
      </c>
      <c r="U57" s="673">
        <v>0</v>
      </c>
      <c r="V57" s="673">
        <v>0</v>
      </c>
      <c r="W57" s="673">
        <v>0</v>
      </c>
      <c r="X57" s="673">
        <v>0</v>
      </c>
      <c r="Y57" s="1269"/>
    </row>
    <row r="58" spans="1:25" ht="21.75" customHeight="1">
      <c r="A58" s="62"/>
      <c r="B58" s="59" t="s">
        <v>47</v>
      </c>
      <c r="C58" s="1529" t="s">
        <v>495</v>
      </c>
      <c r="D58" s="1529"/>
      <c r="E58" s="679"/>
      <c r="F58" s="679"/>
      <c r="G58" s="679"/>
      <c r="H58" s="679"/>
      <c r="I58" s="679"/>
      <c r="J58" s="679"/>
      <c r="K58" s="1278"/>
      <c r="L58" s="673">
        <f t="shared" si="54"/>
        <v>0</v>
      </c>
      <c r="M58" s="673">
        <f t="shared" si="54"/>
        <v>0</v>
      </c>
      <c r="N58" s="673">
        <f t="shared" si="54"/>
        <v>0</v>
      </c>
      <c r="O58" s="673">
        <f t="shared" si="54"/>
        <v>0</v>
      </c>
      <c r="P58" s="673">
        <f t="shared" si="54"/>
        <v>0</v>
      </c>
      <c r="Q58" s="673">
        <f t="shared" si="54"/>
        <v>0</v>
      </c>
      <c r="R58" s="1278"/>
      <c r="S58" s="679">
        <v>0</v>
      </c>
      <c r="T58" s="679">
        <v>0</v>
      </c>
      <c r="U58" s="673">
        <v>0</v>
      </c>
      <c r="V58" s="673">
        <v>0</v>
      </c>
      <c r="W58" s="673">
        <v>0</v>
      </c>
      <c r="X58" s="673">
        <v>0</v>
      </c>
      <c r="Y58" s="1278"/>
    </row>
    <row r="59" spans="1:25" ht="21.75" customHeight="1" thickBot="1">
      <c r="A59" s="62"/>
      <c r="B59" s="59" t="s">
        <v>74</v>
      </c>
      <c r="C59" s="1529" t="s">
        <v>325</v>
      </c>
      <c r="D59" s="1529"/>
      <c r="E59" s="679">
        <v>189615586</v>
      </c>
      <c r="F59" s="679">
        <v>189615586</v>
      </c>
      <c r="G59" s="679">
        <v>189615586</v>
      </c>
      <c r="H59" s="679">
        <v>189615586</v>
      </c>
      <c r="I59" s="679">
        <v>189615586</v>
      </c>
      <c r="J59" s="679">
        <v>189615586</v>
      </c>
      <c r="K59" s="1269">
        <f t="shared" si="4"/>
        <v>1</v>
      </c>
      <c r="L59" s="673">
        <f aca="true" t="shared" si="55" ref="L59:Q59">+E59-S59</f>
        <v>169715553</v>
      </c>
      <c r="M59" s="673">
        <f t="shared" si="55"/>
        <v>169715553</v>
      </c>
      <c r="N59" s="673">
        <f t="shared" si="55"/>
        <v>169715553</v>
      </c>
      <c r="O59" s="673">
        <f t="shared" si="55"/>
        <v>169715553</v>
      </c>
      <c r="P59" s="673">
        <f t="shared" si="55"/>
        <v>169715553</v>
      </c>
      <c r="Q59" s="673">
        <f t="shared" si="55"/>
        <v>169715553</v>
      </c>
      <c r="R59" s="1269">
        <f t="shared" si="6"/>
        <v>1</v>
      </c>
      <c r="S59" s="679">
        <v>19900033</v>
      </c>
      <c r="T59" s="679">
        <v>19900033</v>
      </c>
      <c r="U59" s="673">
        <v>19900033</v>
      </c>
      <c r="V59" s="673">
        <v>19900033</v>
      </c>
      <c r="W59" s="673">
        <v>19900033</v>
      </c>
      <c r="X59" s="673">
        <v>19900033</v>
      </c>
      <c r="Y59" s="1269">
        <f>+X59/W59</f>
        <v>1</v>
      </c>
    </row>
    <row r="60" spans="1:25" ht="35.25" customHeight="1" thickBot="1">
      <c r="A60" s="69" t="s">
        <v>57</v>
      </c>
      <c r="B60" s="1535" t="s">
        <v>76</v>
      </c>
      <c r="C60" s="1535"/>
      <c r="D60" s="1535"/>
      <c r="E60" s="270">
        <f aca="true" t="shared" si="56" ref="E60:J60">E55+E56</f>
        <v>783477310</v>
      </c>
      <c r="F60" s="270">
        <f t="shared" si="56"/>
        <v>783704710</v>
      </c>
      <c r="G60" s="270">
        <f t="shared" si="56"/>
        <v>783874710</v>
      </c>
      <c r="H60" s="270">
        <f t="shared" si="56"/>
        <v>905188018</v>
      </c>
      <c r="I60" s="270">
        <f t="shared" si="56"/>
        <v>996544339</v>
      </c>
      <c r="J60" s="270">
        <f t="shared" si="56"/>
        <v>979664580</v>
      </c>
      <c r="K60" s="1276">
        <f t="shared" si="4"/>
        <v>0.9830617080049461</v>
      </c>
      <c r="L60" s="39">
        <f aca="true" t="shared" si="57" ref="L60:Q60">L55+L56</f>
        <v>684864675</v>
      </c>
      <c r="M60" s="39">
        <f t="shared" si="57"/>
        <v>685092075</v>
      </c>
      <c r="N60" s="39">
        <f t="shared" si="57"/>
        <v>685052075</v>
      </c>
      <c r="O60" s="39">
        <f t="shared" si="57"/>
        <v>804635383</v>
      </c>
      <c r="P60" s="39">
        <f t="shared" si="57"/>
        <v>899900798</v>
      </c>
      <c r="Q60" s="39">
        <f t="shared" si="57"/>
        <v>901369369</v>
      </c>
      <c r="R60" s="1276">
        <f t="shared" si="6"/>
        <v>1.0016319254336299</v>
      </c>
      <c r="S60" s="270">
        <f aca="true" t="shared" si="58" ref="S60:X60">S55+S56</f>
        <v>98612635</v>
      </c>
      <c r="T60" s="270">
        <f t="shared" si="58"/>
        <v>98612635</v>
      </c>
      <c r="U60" s="39">
        <f t="shared" si="58"/>
        <v>98822635</v>
      </c>
      <c r="V60" s="39">
        <f t="shared" si="58"/>
        <v>100552635</v>
      </c>
      <c r="W60" s="39">
        <f t="shared" si="58"/>
        <v>96643541</v>
      </c>
      <c r="X60" s="39">
        <f t="shared" si="58"/>
        <v>78295214</v>
      </c>
      <c r="Y60" s="1276">
        <f>+X60/W60</f>
        <v>0.8101443013144561</v>
      </c>
    </row>
    <row r="61" spans="1:25" ht="21.75" customHeight="1" hidden="1" thickBot="1">
      <c r="A61" s="1521" t="s">
        <v>237</v>
      </c>
      <c r="B61" s="1522"/>
      <c r="C61" s="1522"/>
      <c r="D61" s="1522"/>
      <c r="E61" s="418"/>
      <c r="F61" s="418"/>
      <c r="G61" s="418"/>
      <c r="H61" s="418"/>
      <c r="I61" s="418"/>
      <c r="J61" s="418"/>
      <c r="K61" s="1279" t="e">
        <f t="shared" si="4"/>
        <v>#DIV/0!</v>
      </c>
      <c r="L61" s="419"/>
      <c r="M61" s="419"/>
      <c r="N61" s="419"/>
      <c r="O61" s="419"/>
      <c r="P61" s="419"/>
      <c r="Q61" s="419"/>
      <c r="R61" s="1279" t="e">
        <f t="shared" si="6"/>
        <v>#DIV/0!</v>
      </c>
      <c r="S61" s="418"/>
      <c r="T61" s="418"/>
      <c r="U61" s="419"/>
      <c r="V61" s="419"/>
      <c r="W61" s="419"/>
      <c r="X61" s="419"/>
      <c r="Y61" s="1279" t="e">
        <f>+X61/W61</f>
        <v>#DIV/0!</v>
      </c>
    </row>
    <row r="62" spans="1:25" ht="21.75" customHeight="1" thickBot="1">
      <c r="A62" s="1534" t="s">
        <v>6</v>
      </c>
      <c r="B62" s="1535"/>
      <c r="C62" s="1535"/>
      <c r="D62" s="1535"/>
      <c r="E62" s="298">
        <f aca="true" t="shared" si="59" ref="E62:J62">E60+E61</f>
        <v>783477310</v>
      </c>
      <c r="F62" s="298">
        <f t="shared" si="59"/>
        <v>783704710</v>
      </c>
      <c r="G62" s="298">
        <f t="shared" si="59"/>
        <v>783874710</v>
      </c>
      <c r="H62" s="298">
        <f t="shared" si="59"/>
        <v>905188018</v>
      </c>
      <c r="I62" s="298">
        <f t="shared" si="59"/>
        <v>996544339</v>
      </c>
      <c r="J62" s="298">
        <f t="shared" si="59"/>
        <v>979664580</v>
      </c>
      <c r="K62" s="1280">
        <f>J62/I62</f>
        <v>0.9830617080049461</v>
      </c>
      <c r="L62" s="299">
        <f aca="true" t="shared" si="60" ref="L62:Q62">L60+L61</f>
        <v>684864675</v>
      </c>
      <c r="M62" s="299">
        <f t="shared" si="60"/>
        <v>685092075</v>
      </c>
      <c r="N62" s="299">
        <f t="shared" si="60"/>
        <v>685052075</v>
      </c>
      <c r="O62" s="299">
        <f t="shared" si="60"/>
        <v>804635383</v>
      </c>
      <c r="P62" s="299">
        <f t="shared" si="60"/>
        <v>899900798</v>
      </c>
      <c r="Q62" s="299">
        <f t="shared" si="60"/>
        <v>901369369</v>
      </c>
      <c r="R62" s="1280">
        <f>Q62/P62</f>
        <v>1.0016319254336299</v>
      </c>
      <c r="S62" s="298">
        <f aca="true" t="shared" si="61" ref="S62:X62">S60+S61</f>
        <v>98612635</v>
      </c>
      <c r="T62" s="298">
        <f t="shared" si="61"/>
        <v>98612635</v>
      </c>
      <c r="U62" s="299">
        <f t="shared" si="61"/>
        <v>98822635</v>
      </c>
      <c r="V62" s="299">
        <f t="shared" si="61"/>
        <v>100552635</v>
      </c>
      <c r="W62" s="299">
        <f t="shared" si="61"/>
        <v>96643541</v>
      </c>
      <c r="X62" s="299">
        <f t="shared" si="61"/>
        <v>78295214</v>
      </c>
      <c r="Y62" s="1280">
        <f>X62/W62</f>
        <v>0.8101443013144561</v>
      </c>
    </row>
    <row r="63" spans="1:25" ht="21.75" customHeight="1">
      <c r="A63" s="420"/>
      <c r="B63" s="421"/>
      <c r="C63" s="421"/>
      <c r="D63" s="421"/>
      <c r="E63" s="422"/>
      <c r="F63" s="422"/>
      <c r="G63" s="422"/>
      <c r="H63" s="422"/>
      <c r="I63" s="422"/>
      <c r="J63" s="422"/>
      <c r="K63" s="422"/>
      <c r="L63" s="422"/>
      <c r="M63" s="422"/>
      <c r="N63" s="422"/>
      <c r="O63" s="660"/>
      <c r="P63" s="422"/>
      <c r="Q63" s="422"/>
      <c r="R63" s="422"/>
      <c r="S63" s="422"/>
      <c r="T63" s="422"/>
      <c r="U63" s="422"/>
      <c r="V63" s="422"/>
      <c r="W63" s="422"/>
      <c r="X63" s="422"/>
      <c r="Y63" s="422"/>
    </row>
    <row r="64" spans="1:22" ht="21.75" customHeight="1">
      <c r="A64" s="49"/>
      <c r="B64" s="90"/>
      <c r="C64" s="90"/>
      <c r="D64" s="90"/>
      <c r="E64" s="245"/>
      <c r="H64" s="244">
        <f>905188018-H62</f>
        <v>0</v>
      </c>
      <c r="K64" s="245"/>
      <c r="L64" s="701"/>
      <c r="T64" s="245"/>
      <c r="U64" s="245"/>
      <c r="V64" s="245"/>
    </row>
    <row r="65" spans="1:22" ht="35.25" customHeight="1">
      <c r="A65" s="49"/>
      <c r="B65" s="90"/>
      <c r="C65" s="90"/>
      <c r="D65" s="90"/>
      <c r="E65" s="702" t="str">
        <f>IF(E62='4.sz.m.ÖNK kiadás'!E39," ","HIBA - eltérő összesen")</f>
        <v> </v>
      </c>
      <c r="F65" s="702" t="str">
        <f>IF(F62='4.sz.m.ÖNK kiadás'!F39," ","HIBA - eltérő összesen")</f>
        <v> </v>
      </c>
      <c r="G65" s="702" t="str">
        <f>IF(G62='4.sz.m.ÖNK kiadás'!G39," ","HIBA - eltérő összesen")</f>
        <v> </v>
      </c>
      <c r="H65" s="702"/>
      <c r="I65" s="702"/>
      <c r="J65" s="702"/>
      <c r="K65" s="245"/>
      <c r="M65" s="245"/>
      <c r="N65" s="245"/>
      <c r="P65" s="245"/>
      <c r="Q65" s="245"/>
      <c r="R65" s="245"/>
      <c r="T65" s="245"/>
      <c r="U65" s="245"/>
      <c r="V65" s="245"/>
    </row>
    <row r="66" spans="1:22" ht="35.25" customHeight="1">
      <c r="A66" s="49"/>
      <c r="B66" s="90"/>
      <c r="C66" s="90"/>
      <c r="D66" s="90"/>
      <c r="E66" s="703" t="str">
        <f>IF(L62+S62=E62," ","HIBA-nincs egyenlőség")</f>
        <v> </v>
      </c>
      <c r="F66" s="703" t="str">
        <f>IF(M62+T62=F62," ","HIBA-nincs egyenlőség")</f>
        <v> </v>
      </c>
      <c r="G66" s="703" t="str">
        <f>IF(N62+U62=G62," ","HIBA-nincs egyenlőség")</f>
        <v> </v>
      </c>
      <c r="H66" s="703"/>
      <c r="I66" s="703"/>
      <c r="J66" s="703"/>
      <c r="K66" s="703"/>
      <c r="L66" s="245"/>
      <c r="M66" s="245"/>
      <c r="N66" s="245"/>
      <c r="O66" s="245"/>
      <c r="P66" s="245"/>
      <c r="Q66" s="245"/>
      <c r="R66" s="245"/>
      <c r="T66" s="245"/>
      <c r="U66" s="245"/>
      <c r="V66" s="245"/>
    </row>
    <row r="67" spans="5:22" ht="12.75"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T67" s="245"/>
      <c r="U67" s="245"/>
      <c r="V67" s="245"/>
    </row>
    <row r="68" spans="5:22" ht="12.75"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T68" s="245"/>
      <c r="U68" s="245"/>
      <c r="V68" s="245"/>
    </row>
    <row r="69" spans="5:22" ht="12.75"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T69" s="245"/>
      <c r="U69" s="245"/>
      <c r="V69" s="245"/>
    </row>
    <row r="70" spans="4:22" ht="12.75">
      <c r="D70" s="56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T70" s="245"/>
      <c r="U70" s="245"/>
      <c r="V70" s="245"/>
    </row>
    <row r="71" spans="4:22" ht="48.75" customHeight="1">
      <c r="D71" s="56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T71" s="245"/>
      <c r="U71" s="245"/>
      <c r="V71" s="245"/>
    </row>
    <row r="72" spans="4:22" ht="46.5" customHeight="1">
      <c r="D72" s="56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T72" s="245"/>
      <c r="U72" s="245"/>
      <c r="V72" s="245"/>
    </row>
    <row r="73" spans="5:22" ht="41.25" customHeight="1"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T73" s="245"/>
      <c r="U73" s="245"/>
      <c r="V73" s="245"/>
    </row>
    <row r="74" spans="5:22" ht="12.75"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T74" s="245"/>
      <c r="U74" s="245"/>
      <c r="V74" s="245"/>
    </row>
    <row r="75" spans="5:22" ht="12.75"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T75" s="245"/>
      <c r="U75" s="245"/>
      <c r="V75" s="245"/>
    </row>
    <row r="76" spans="5:22" ht="12.75"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T76" s="245"/>
      <c r="U76" s="245"/>
      <c r="V76" s="245"/>
    </row>
    <row r="77" spans="5:22" ht="12.75"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T77" s="245"/>
      <c r="U77" s="245"/>
      <c r="V77" s="245"/>
    </row>
    <row r="78" spans="5:22" ht="12.75"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T78" s="245"/>
      <c r="U78" s="245"/>
      <c r="V78" s="245"/>
    </row>
    <row r="79" spans="5:22" ht="12.75"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T79" s="245"/>
      <c r="U79" s="245"/>
      <c r="V79" s="245"/>
    </row>
    <row r="80" spans="5:22" ht="12.75"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T80" s="245"/>
      <c r="U80" s="245"/>
      <c r="V80" s="245"/>
    </row>
    <row r="81" spans="5:22" ht="12.75"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T81" s="245"/>
      <c r="U81" s="245"/>
      <c r="V81" s="245"/>
    </row>
    <row r="82" spans="5:22" ht="12.75"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T82" s="245"/>
      <c r="U82" s="245"/>
      <c r="V82" s="245"/>
    </row>
    <row r="83" spans="5:22" ht="12.75"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T83" s="245"/>
      <c r="U83" s="245"/>
      <c r="V83" s="245"/>
    </row>
    <row r="84" spans="5:22" ht="12.75"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T84" s="245"/>
      <c r="U84" s="245"/>
      <c r="V84" s="245"/>
    </row>
    <row r="85" spans="5:22" ht="12.75"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T85" s="245"/>
      <c r="U85" s="245"/>
      <c r="V85" s="245"/>
    </row>
    <row r="86" spans="5:22" ht="12.75"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T86" s="245"/>
      <c r="U86" s="245"/>
      <c r="V86" s="245"/>
    </row>
    <row r="87" spans="5:22" ht="12.75"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T87" s="245"/>
      <c r="U87" s="245"/>
      <c r="V87" s="245"/>
    </row>
    <row r="88" spans="5:22" ht="12.75"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T88" s="245"/>
      <c r="U88" s="245"/>
      <c r="V88" s="245"/>
    </row>
    <row r="89" spans="5:22" ht="12.75"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T89" s="245"/>
      <c r="U89" s="245"/>
      <c r="V89" s="245"/>
    </row>
    <row r="90" spans="5:22" ht="12.75"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T90" s="245"/>
      <c r="U90" s="245"/>
      <c r="V90" s="245"/>
    </row>
    <row r="91" spans="5:22" ht="12.75"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T91" s="245"/>
      <c r="U91" s="245"/>
      <c r="V91" s="245"/>
    </row>
    <row r="92" spans="5:22" ht="12.75"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T92" s="245"/>
      <c r="U92" s="245"/>
      <c r="V92" s="245"/>
    </row>
    <row r="93" spans="5:22" ht="12.75"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T93" s="245"/>
      <c r="U93" s="245"/>
      <c r="V93" s="245"/>
    </row>
    <row r="94" spans="5:22" ht="12.75"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T94" s="245"/>
      <c r="U94" s="245"/>
      <c r="V94" s="245"/>
    </row>
    <row r="95" spans="5:22" ht="12.75"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T95" s="245"/>
      <c r="U95" s="245"/>
      <c r="V95" s="245"/>
    </row>
    <row r="96" spans="5:22" ht="12.75"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T96" s="245"/>
      <c r="U96" s="245"/>
      <c r="V96" s="245"/>
    </row>
    <row r="97" spans="5:22" ht="12.75"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T97" s="245"/>
      <c r="U97" s="245"/>
      <c r="V97" s="245"/>
    </row>
    <row r="98" spans="5:22" ht="12.75"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T98" s="245"/>
      <c r="U98" s="245"/>
      <c r="V98" s="245"/>
    </row>
    <row r="99" spans="5:22" ht="12.75"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T99" s="245"/>
      <c r="U99" s="245"/>
      <c r="V99" s="245"/>
    </row>
    <row r="100" spans="5:22" ht="12.75"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T100" s="245"/>
      <c r="U100" s="245"/>
      <c r="V100" s="245"/>
    </row>
    <row r="101" spans="5:22" ht="12.75"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T101" s="245"/>
      <c r="U101" s="245"/>
      <c r="V101" s="245"/>
    </row>
    <row r="102" spans="5:22" ht="12.75"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T102" s="245"/>
      <c r="U102" s="245"/>
      <c r="V102" s="245"/>
    </row>
    <row r="103" spans="5:22" ht="12.75"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T103" s="245"/>
      <c r="U103" s="245"/>
      <c r="V103" s="245"/>
    </row>
    <row r="104" spans="5:22" ht="12.75"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T104" s="245"/>
      <c r="U104" s="245"/>
      <c r="V104" s="245"/>
    </row>
    <row r="105" spans="5:22" ht="12.75"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T105" s="245"/>
      <c r="U105" s="245"/>
      <c r="V105" s="245"/>
    </row>
    <row r="106" spans="5:22" ht="12.75"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T106" s="245"/>
      <c r="U106" s="245"/>
      <c r="V106" s="245"/>
    </row>
    <row r="107" spans="5:22" ht="12.75"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T107" s="245"/>
      <c r="U107" s="245"/>
      <c r="V107" s="245"/>
    </row>
    <row r="108" spans="5:22" ht="12.75"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T108" s="245"/>
      <c r="U108" s="245"/>
      <c r="V108" s="245"/>
    </row>
    <row r="109" spans="5:22" ht="12.75"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T109" s="245"/>
      <c r="U109" s="245"/>
      <c r="V109" s="245"/>
    </row>
    <row r="110" spans="5:22" ht="12.75"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T110" s="245"/>
      <c r="U110" s="245"/>
      <c r="V110" s="245"/>
    </row>
    <row r="111" spans="5:22" ht="12.75"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T111" s="245"/>
      <c r="U111" s="245"/>
      <c r="V111" s="245"/>
    </row>
  </sheetData>
  <sheetProtection/>
  <mergeCells count="46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4:C4"/>
    <mergeCell ref="B6:D6"/>
    <mergeCell ref="B7:D7"/>
    <mergeCell ref="E4:K4"/>
    <mergeCell ref="L4:R4"/>
    <mergeCell ref="S4:Y4"/>
    <mergeCell ref="S1:W1"/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view="pageBreakPreview" zoomScale="60" zoomScaleNormal="70" zoomScalePageLayoutView="85" workbookViewId="0" topLeftCell="D8">
      <selection activeCell="L4" sqref="L4"/>
    </sheetView>
  </sheetViews>
  <sheetFormatPr defaultColWidth="9.140625" defaultRowHeight="12.75"/>
  <cols>
    <col min="1" max="1" width="5.8515625" style="77" customWidth="1"/>
    <col min="2" max="2" width="8.140625" style="31" customWidth="1"/>
    <col min="3" max="3" width="6.8515625" style="31" customWidth="1"/>
    <col min="4" max="4" width="50.140625" style="18" bestFit="1" customWidth="1"/>
    <col min="5" max="5" width="21.57421875" style="1" customWidth="1"/>
    <col min="6" max="6" width="18.421875" style="1" hidden="1" customWidth="1"/>
    <col min="7" max="7" width="17.00390625" style="1" hidden="1" customWidth="1"/>
    <col min="8" max="8" width="20.421875" style="1" hidden="1" customWidth="1"/>
    <col min="9" max="9" width="22.140625" style="1" customWidth="1"/>
    <col min="10" max="10" width="22.7109375" style="1" customWidth="1"/>
    <col min="11" max="11" width="11.8515625" style="1" customWidth="1"/>
    <col min="12" max="12" width="20.7109375" style="41" customWidth="1"/>
    <col min="13" max="13" width="16.421875" style="41" hidden="1" customWidth="1"/>
    <col min="14" max="14" width="18.28125" style="41" hidden="1" customWidth="1"/>
    <col min="15" max="15" width="15.7109375" style="41" hidden="1" customWidth="1"/>
    <col min="16" max="16" width="17.140625" style="41" customWidth="1"/>
    <col min="17" max="17" width="16.7109375" style="41" customWidth="1"/>
    <col min="18" max="18" width="14.140625" style="41" customWidth="1"/>
    <col min="19" max="19" width="22.140625" style="41" customWidth="1"/>
    <col min="20" max="20" width="18.28125" style="41" hidden="1" customWidth="1"/>
    <col min="21" max="21" width="15.7109375" style="1" hidden="1" customWidth="1"/>
    <col min="22" max="22" width="17.7109375" style="1" hidden="1" customWidth="1"/>
    <col min="23" max="23" width="19.140625" style="1" customWidth="1"/>
    <col min="24" max="24" width="15.421875" style="1" customWidth="1"/>
    <col min="25" max="25" width="11.7109375" style="1" customWidth="1"/>
    <col min="26" max="26" width="9.140625" style="1" hidden="1" customWidth="1"/>
    <col min="27" max="27" width="9.140625" style="1" customWidth="1"/>
    <col min="28" max="28" width="16.421875" style="1" customWidth="1"/>
    <col min="29" max="16384" width="9.140625" style="1" customWidth="1"/>
  </cols>
  <sheetData>
    <row r="1" spans="5:25" ht="15.75">
      <c r="E1" s="1593" t="s">
        <v>536</v>
      </c>
      <c r="F1" s="1593"/>
      <c r="G1" s="1593"/>
      <c r="H1" s="1593"/>
      <c r="I1" s="1593"/>
      <c r="J1" s="1593"/>
      <c r="K1" s="1593"/>
      <c r="L1" s="1593"/>
      <c r="M1" s="1593"/>
      <c r="N1" s="1593"/>
      <c r="O1" s="1593"/>
      <c r="P1" s="1593"/>
      <c r="Q1" s="1593"/>
      <c r="R1" s="1593"/>
      <c r="S1" s="1593"/>
      <c r="T1" s="1593"/>
      <c r="U1" s="1593"/>
      <c r="V1" s="1593"/>
      <c r="W1" s="1593"/>
      <c r="X1" s="1593"/>
      <c r="Y1" s="1593"/>
    </row>
    <row r="2" spans="1:25" ht="37.5" customHeight="1">
      <c r="A2" s="1592" t="s">
        <v>605</v>
      </c>
      <c r="B2" s="1592"/>
      <c r="C2" s="1592"/>
      <c r="D2" s="1592"/>
      <c r="E2" s="1592"/>
      <c r="F2" s="1592"/>
      <c r="G2" s="1592"/>
      <c r="H2" s="1592"/>
      <c r="I2" s="1592"/>
      <c r="J2" s="1592"/>
      <c r="K2" s="1592"/>
      <c r="L2" s="1592"/>
      <c r="M2" s="1592"/>
      <c r="N2" s="1592"/>
      <c r="O2" s="1592"/>
      <c r="P2" s="1592"/>
      <c r="Q2" s="1592"/>
      <c r="R2" s="1592"/>
      <c r="S2" s="1592"/>
      <c r="T2" s="1592"/>
      <c r="U2" s="1592"/>
      <c r="V2" s="1592"/>
      <c r="W2" s="1592"/>
      <c r="X2" s="1592"/>
      <c r="Y2" s="1592"/>
    </row>
    <row r="3" spans="1:25" ht="14.25" customHeight="1" thickBot="1">
      <c r="A3" s="49"/>
      <c r="B3" s="76"/>
      <c r="C3" s="76"/>
      <c r="D3" s="82"/>
      <c r="S3" s="1594" t="s">
        <v>434</v>
      </c>
      <c r="T3" s="1594"/>
      <c r="U3" s="1594"/>
      <c r="V3" s="1594"/>
      <c r="W3" s="1594"/>
      <c r="X3" s="1594"/>
      <c r="Y3" s="1594"/>
    </row>
    <row r="4" spans="1:25" s="2" customFormat="1" ht="48.75" customHeight="1" thickBot="1">
      <c r="A4" s="1561" t="s">
        <v>3</v>
      </c>
      <c r="B4" s="1536"/>
      <c r="C4" s="1536"/>
      <c r="D4" s="1536"/>
      <c r="E4" s="328" t="s">
        <v>4</v>
      </c>
      <c r="F4" s="296"/>
      <c r="G4" s="612"/>
      <c r="H4" s="295"/>
      <c r="I4" s="296"/>
      <c r="J4" s="662"/>
      <c r="K4" s="232"/>
      <c r="L4" s="328" t="s">
        <v>60</v>
      </c>
      <c r="M4" s="296"/>
      <c r="N4" s="612"/>
      <c r="O4" s="295"/>
      <c r="P4" s="296"/>
      <c r="Q4" s="662"/>
      <c r="R4" s="232"/>
      <c r="S4" s="1568" t="s">
        <v>61</v>
      </c>
      <c r="T4" s="1569"/>
      <c r="U4" s="1569"/>
      <c r="V4" s="1569"/>
      <c r="W4" s="1569"/>
      <c r="X4" s="1569"/>
      <c r="Y4" s="1570"/>
    </row>
    <row r="5" spans="1:25" s="2" customFormat="1" ht="16.5" thickBot="1">
      <c r="A5" s="229"/>
      <c r="B5" s="227"/>
      <c r="C5" s="227"/>
      <c r="D5" s="227"/>
      <c r="E5" s="294" t="s">
        <v>64</v>
      </c>
      <c r="F5" s="296" t="s">
        <v>225</v>
      </c>
      <c r="G5" s="612" t="s">
        <v>228</v>
      </c>
      <c r="H5" s="295" t="s">
        <v>230</v>
      </c>
      <c r="I5" s="296" t="s">
        <v>242</v>
      </c>
      <c r="J5" s="612" t="s">
        <v>233</v>
      </c>
      <c r="K5" s="558" t="s">
        <v>234</v>
      </c>
      <c r="L5" s="294" t="s">
        <v>64</v>
      </c>
      <c r="M5" s="296" t="s">
        <v>225</v>
      </c>
      <c r="N5" s="612" t="s">
        <v>228</v>
      </c>
      <c r="O5" s="295" t="s">
        <v>230</v>
      </c>
      <c r="P5" s="296" t="s">
        <v>242</v>
      </c>
      <c r="Q5" s="612" t="s">
        <v>233</v>
      </c>
      <c r="R5" s="558" t="s">
        <v>234</v>
      </c>
      <c r="S5" s="294" t="s">
        <v>64</v>
      </c>
      <c r="T5" s="295" t="s">
        <v>225</v>
      </c>
      <c r="U5" s="295" t="s">
        <v>228</v>
      </c>
      <c r="V5" s="295" t="s">
        <v>230</v>
      </c>
      <c r="W5" s="295" t="s">
        <v>242</v>
      </c>
      <c r="X5" s="612" t="s">
        <v>233</v>
      </c>
      <c r="Y5" s="663" t="s">
        <v>234</v>
      </c>
    </row>
    <row r="6" spans="1:28" s="40" customFormat="1" ht="22.5" customHeight="1" thickBot="1">
      <c r="A6" s="69" t="s">
        <v>26</v>
      </c>
      <c r="B6" s="1564" t="s">
        <v>77</v>
      </c>
      <c r="C6" s="1564"/>
      <c r="D6" s="1564"/>
      <c r="E6" s="270">
        <f aca="true" t="shared" si="0" ref="E6:J6">SUM(E7:E11)</f>
        <v>319915854</v>
      </c>
      <c r="F6" s="270">
        <f t="shared" si="0"/>
        <v>321942249</v>
      </c>
      <c r="G6" s="270">
        <f t="shared" si="0"/>
        <v>333263853</v>
      </c>
      <c r="H6" s="270">
        <f t="shared" si="0"/>
        <v>341887633</v>
      </c>
      <c r="I6" s="270">
        <f t="shared" si="0"/>
        <v>462296975</v>
      </c>
      <c r="J6" s="270">
        <f t="shared" si="0"/>
        <v>306267817</v>
      </c>
      <c r="K6" s="910">
        <f>+J6/I6</f>
        <v>0.6624915012692869</v>
      </c>
      <c r="L6" s="270">
        <f aca="true" t="shared" si="1" ref="L6:Q6">SUM(L7:L11)</f>
        <v>244074563</v>
      </c>
      <c r="M6" s="270">
        <f t="shared" si="1"/>
        <v>246100958</v>
      </c>
      <c r="N6" s="270">
        <f t="shared" si="1"/>
        <v>257212562</v>
      </c>
      <c r="O6" s="270">
        <f t="shared" si="1"/>
        <v>264956342</v>
      </c>
      <c r="P6" s="270">
        <f t="shared" si="1"/>
        <v>387880530</v>
      </c>
      <c r="Q6" s="270">
        <f t="shared" si="1"/>
        <v>247547180</v>
      </c>
      <c r="R6" s="910">
        <f>+Q6/P6</f>
        <v>0.6382047070008902</v>
      </c>
      <c r="S6" s="270">
        <f aca="true" t="shared" si="2" ref="S6:X6">SUM(S7:S11)</f>
        <v>75841291</v>
      </c>
      <c r="T6" s="270">
        <f t="shared" si="2"/>
        <v>75841291</v>
      </c>
      <c r="U6" s="270">
        <f t="shared" si="2"/>
        <v>76051291</v>
      </c>
      <c r="V6" s="270">
        <f t="shared" si="2"/>
        <v>76931291</v>
      </c>
      <c r="W6" s="270">
        <f t="shared" si="2"/>
        <v>74416445</v>
      </c>
      <c r="X6" s="270">
        <f t="shared" si="2"/>
        <v>58720637</v>
      </c>
      <c r="Y6" s="910">
        <f>+X6/W6</f>
        <v>0.7890814590780304</v>
      </c>
      <c r="Z6" s="270">
        <f>SUM(Z7:Z11)</f>
        <v>17714407.654385265</v>
      </c>
      <c r="AB6" s="688"/>
    </row>
    <row r="7" spans="1:28" s="4" customFormat="1" ht="22.5" customHeight="1">
      <c r="A7" s="68"/>
      <c r="B7" s="73" t="s">
        <v>35</v>
      </c>
      <c r="C7" s="73"/>
      <c r="D7" s="262" t="s">
        <v>0</v>
      </c>
      <c r="E7" s="266">
        <v>51822710</v>
      </c>
      <c r="F7" s="266">
        <v>53055967</v>
      </c>
      <c r="G7" s="266">
        <v>53055967</v>
      </c>
      <c r="H7" s="266">
        <v>53055967</v>
      </c>
      <c r="I7" s="266">
        <v>53430184</v>
      </c>
      <c r="J7" s="266">
        <v>48746655</v>
      </c>
      <c r="K7" s="915">
        <f aca="true" t="shared" si="3" ref="K7:K39">+J7/I7</f>
        <v>0.912343011957436</v>
      </c>
      <c r="L7" s="271">
        <f aca="true" t="shared" si="4" ref="L7:Q8">E7-S7</f>
        <v>37302710</v>
      </c>
      <c r="M7" s="271">
        <f t="shared" si="4"/>
        <v>38535967</v>
      </c>
      <c r="N7" s="271">
        <f t="shared" si="4"/>
        <v>38535967</v>
      </c>
      <c r="O7" s="271">
        <f t="shared" si="4"/>
        <v>38535967</v>
      </c>
      <c r="P7" s="271">
        <f t="shared" si="4"/>
        <v>38910184</v>
      </c>
      <c r="Q7" s="271">
        <f t="shared" si="4"/>
        <v>36866656</v>
      </c>
      <c r="R7" s="915">
        <f aca="true" t="shared" si="5" ref="R7:R39">+Q7/P7</f>
        <v>0.947480896003987</v>
      </c>
      <c r="S7" s="271">
        <v>14520000</v>
      </c>
      <c r="T7" s="271">
        <v>14520000</v>
      </c>
      <c r="U7" s="271">
        <v>14520000</v>
      </c>
      <c r="V7" s="271">
        <v>14520000</v>
      </c>
      <c r="W7" s="271">
        <v>14520000</v>
      </c>
      <c r="X7" s="1265">
        <v>11879999</v>
      </c>
      <c r="Y7" s="915">
        <f aca="true" t="shared" si="6" ref="Y7:Y39">+X7/W7</f>
        <v>0.8181817493112947</v>
      </c>
      <c r="Z7" s="271">
        <v>14520000</v>
      </c>
      <c r="AB7" s="688"/>
    </row>
    <row r="8" spans="1:28" s="4" customFormat="1" ht="22.5" customHeight="1">
      <c r="A8" s="51"/>
      <c r="B8" s="60" t="s">
        <v>36</v>
      </c>
      <c r="C8" s="60"/>
      <c r="D8" s="263" t="s">
        <v>78</v>
      </c>
      <c r="E8" s="266">
        <v>10195963</v>
      </c>
      <c r="F8" s="266">
        <v>10444924</v>
      </c>
      <c r="G8" s="266">
        <v>10444924</v>
      </c>
      <c r="H8" s="266">
        <v>10444924</v>
      </c>
      <c r="I8" s="266">
        <v>10710622</v>
      </c>
      <c r="J8" s="266">
        <v>7900322</v>
      </c>
      <c r="K8" s="915">
        <f t="shared" si="3"/>
        <v>0.7376156118664257</v>
      </c>
      <c r="L8" s="271">
        <f t="shared" si="4"/>
        <v>7001563</v>
      </c>
      <c r="M8" s="271">
        <f t="shared" si="4"/>
        <v>7250524</v>
      </c>
      <c r="N8" s="266">
        <f t="shared" si="4"/>
        <v>7250524</v>
      </c>
      <c r="O8" s="266">
        <f t="shared" si="4"/>
        <v>7250524</v>
      </c>
      <c r="P8" s="266">
        <f t="shared" si="4"/>
        <v>7516222</v>
      </c>
      <c r="Q8" s="266">
        <f t="shared" si="4"/>
        <v>5767830</v>
      </c>
      <c r="R8" s="915">
        <f t="shared" si="5"/>
        <v>0.767384199136215</v>
      </c>
      <c r="S8" s="266">
        <v>3194400</v>
      </c>
      <c r="T8" s="266">
        <v>3194400</v>
      </c>
      <c r="U8" s="266">
        <v>3194400</v>
      </c>
      <c r="V8" s="266">
        <v>3194400</v>
      </c>
      <c r="W8" s="266">
        <v>3194400</v>
      </c>
      <c r="X8" s="790">
        <v>2132492</v>
      </c>
      <c r="Y8" s="915">
        <f t="shared" si="6"/>
        <v>0.6675720010017531</v>
      </c>
      <c r="Z8" s="266">
        <v>3194400</v>
      </c>
      <c r="AB8" s="688"/>
    </row>
    <row r="9" spans="1:28" s="4" customFormat="1" ht="22.5" customHeight="1">
      <c r="A9" s="51"/>
      <c r="B9" s="60" t="s">
        <v>37</v>
      </c>
      <c r="C9" s="60"/>
      <c r="D9" s="263" t="s">
        <v>79</v>
      </c>
      <c r="E9" s="266">
        <v>101654785</v>
      </c>
      <c r="F9" s="266">
        <v>102011785</v>
      </c>
      <c r="G9" s="266">
        <v>113123389</v>
      </c>
      <c r="H9" s="266">
        <v>118627169</v>
      </c>
      <c r="I9" s="266">
        <f>249762337-5603240</f>
        <v>244159097</v>
      </c>
      <c r="J9" s="266">
        <v>95949134</v>
      </c>
      <c r="K9" s="915">
        <f t="shared" si="3"/>
        <v>0.3929779196390131</v>
      </c>
      <c r="L9" s="266">
        <f>'7.sz.m.Dologi kiadás (3)'!K42</f>
        <v>55860707</v>
      </c>
      <c r="M9" s="266">
        <f>'7.sz.m.Dologi kiadás (3)'!L42</f>
        <v>56217707</v>
      </c>
      <c r="N9" s="266">
        <f>'7.sz.m.Dologi kiadás (3)'!M42</f>
        <v>67329311</v>
      </c>
      <c r="O9" s="266">
        <f>'7.sz.m.Dologi kiadás (3)'!N42</f>
        <v>73953091</v>
      </c>
      <c r="P9" s="266">
        <f>'7.sz.m.Dologi kiadás (3)'!O42</f>
        <v>199431319</v>
      </c>
      <c r="Q9" s="266">
        <f>'7.sz.m.Dologi kiadás (3)'!P42</f>
        <v>62959255</v>
      </c>
      <c r="R9" s="915">
        <f t="shared" si="5"/>
        <v>0.31569392067250984</v>
      </c>
      <c r="S9" s="266">
        <f>'7.sz.m.Dologi kiadás (3)'!R42</f>
        <v>45794078</v>
      </c>
      <c r="T9" s="266">
        <f>'7.sz.m.Dologi kiadás (3)'!S42</f>
        <v>45794078</v>
      </c>
      <c r="U9" s="266">
        <f>'7.sz.m.Dologi kiadás (3)'!T42</f>
        <v>45794078</v>
      </c>
      <c r="V9" s="266">
        <f>'7.sz.m.Dologi kiadás (3)'!U42</f>
        <v>44674078</v>
      </c>
      <c r="W9" s="266">
        <f>'7.sz.m.Dologi kiadás (3)'!V42</f>
        <v>44727778</v>
      </c>
      <c r="X9" s="266">
        <f>'7.sz.m.Dologi kiadás (3)'!W42</f>
        <v>32989879</v>
      </c>
      <c r="Y9" s="915">
        <f t="shared" si="6"/>
        <v>0.7375702633830815</v>
      </c>
      <c r="Z9" s="266">
        <f>'7.sz.m.Dologi kiadás (3)'!Y42</f>
        <v>0</v>
      </c>
      <c r="AB9" s="688"/>
    </row>
    <row r="10" spans="1:28" s="4" customFormat="1" ht="22.5" customHeight="1">
      <c r="A10" s="51"/>
      <c r="B10" s="60" t="s">
        <v>48</v>
      </c>
      <c r="C10" s="60"/>
      <c r="D10" s="263" t="s">
        <v>80</v>
      </c>
      <c r="E10" s="266">
        <v>2250000</v>
      </c>
      <c r="F10" s="266">
        <v>2250000</v>
      </c>
      <c r="G10" s="266">
        <v>2250000</v>
      </c>
      <c r="H10" s="266">
        <f>3473000-103000</f>
        <v>3370000</v>
      </c>
      <c r="I10" s="266">
        <f>3473000-103000</f>
        <v>3370000</v>
      </c>
      <c r="J10" s="266">
        <v>3300634</v>
      </c>
      <c r="K10" s="915">
        <f t="shared" si="3"/>
        <v>0.9794166172106825</v>
      </c>
      <c r="L10" s="266">
        <f>SUM('8.sz.m.szociális kiadások (2)'!C10:C15)</f>
        <v>2250000</v>
      </c>
      <c r="M10" s="266">
        <f>SUM('8.sz.m.szociális kiadások (2)'!D10:D15)</f>
        <v>2250000</v>
      </c>
      <c r="N10" s="266">
        <f>SUM('8.sz.m.szociális kiadások (2)'!E10:E15)</f>
        <v>2250000</v>
      </c>
      <c r="O10" s="266">
        <f>SUM('8.sz.m.szociális kiadások (2)'!F10:F15)</f>
        <v>3370000</v>
      </c>
      <c r="P10" s="266">
        <f>SUM('8.sz.m.szociális kiadások (2)'!G10:G15)</f>
        <v>3370000</v>
      </c>
      <c r="Q10" s="266">
        <f>SUM('8.sz.m.szociális kiadások (2)'!H10:H15)</f>
        <v>3300634</v>
      </c>
      <c r="R10" s="915">
        <f t="shared" si="5"/>
        <v>0.9794166172106825</v>
      </c>
      <c r="S10" s="266"/>
      <c r="T10" s="266"/>
      <c r="U10" s="266"/>
      <c r="V10" s="266"/>
      <c r="W10" s="266"/>
      <c r="X10" s="266"/>
      <c r="Y10" s="915"/>
      <c r="Z10" s="266"/>
      <c r="AB10" s="688"/>
    </row>
    <row r="11" spans="1:28" s="4" customFormat="1" ht="22.5" customHeight="1">
      <c r="A11" s="51"/>
      <c r="B11" s="60" t="s">
        <v>49</v>
      </c>
      <c r="C11" s="60"/>
      <c r="D11" s="264" t="s">
        <v>82</v>
      </c>
      <c r="E11" s="266">
        <f aca="true" t="shared" si="7" ref="E11:J11">SUM(E12:E16)</f>
        <v>153992396</v>
      </c>
      <c r="F11" s="266">
        <f t="shared" si="7"/>
        <v>154179573</v>
      </c>
      <c r="G11" s="266">
        <f t="shared" si="7"/>
        <v>154389573</v>
      </c>
      <c r="H11" s="266">
        <f t="shared" si="7"/>
        <v>156389573</v>
      </c>
      <c r="I11" s="266">
        <f t="shared" si="7"/>
        <v>150627072</v>
      </c>
      <c r="J11" s="266">
        <f t="shared" si="7"/>
        <v>150371072</v>
      </c>
      <c r="K11" s="915">
        <f t="shared" si="3"/>
        <v>0.998300438316958</v>
      </c>
      <c r="L11" s="266">
        <f aca="true" t="shared" si="8" ref="L11:Q11">E11-S11</f>
        <v>141659583</v>
      </c>
      <c r="M11" s="266">
        <f t="shared" si="8"/>
        <v>141846760</v>
      </c>
      <c r="N11" s="266">
        <f t="shared" si="8"/>
        <v>141846760</v>
      </c>
      <c r="O11" s="266">
        <f t="shared" si="8"/>
        <v>141846760</v>
      </c>
      <c r="P11" s="266">
        <f t="shared" si="8"/>
        <v>138652805</v>
      </c>
      <c r="Q11" s="266">
        <f t="shared" si="8"/>
        <v>138652805</v>
      </c>
      <c r="R11" s="915">
        <f t="shared" si="5"/>
        <v>1</v>
      </c>
      <c r="S11" s="266">
        <f aca="true" t="shared" si="9" ref="S11:X11">SUM(S12:S16)</f>
        <v>12332813</v>
      </c>
      <c r="T11" s="266">
        <f t="shared" si="9"/>
        <v>12332813</v>
      </c>
      <c r="U11" s="266">
        <f t="shared" si="9"/>
        <v>12542813</v>
      </c>
      <c r="V11" s="266">
        <f t="shared" si="9"/>
        <v>14542813</v>
      </c>
      <c r="W11" s="266">
        <f t="shared" si="9"/>
        <v>11974267</v>
      </c>
      <c r="X11" s="266">
        <f t="shared" si="9"/>
        <v>11718267</v>
      </c>
      <c r="Y11" s="915">
        <f t="shared" si="6"/>
        <v>0.9786208207984672</v>
      </c>
      <c r="Z11" s="266">
        <f>SUM(Z12:Z16)</f>
        <v>7.654385263514029</v>
      </c>
      <c r="AB11" s="688"/>
    </row>
    <row r="12" spans="1:28" s="4" customFormat="1" ht="22.5" customHeight="1">
      <c r="A12" s="51"/>
      <c r="B12" s="81"/>
      <c r="C12" s="60" t="s">
        <v>81</v>
      </c>
      <c r="D12" s="263" t="s">
        <v>274</v>
      </c>
      <c r="E12" s="266"/>
      <c r="F12" s="266">
        <v>187177</v>
      </c>
      <c r="G12" s="266">
        <v>187177</v>
      </c>
      <c r="H12" s="266">
        <v>187177</v>
      </c>
      <c r="I12" s="266">
        <v>187177</v>
      </c>
      <c r="J12" s="266">
        <v>187177</v>
      </c>
      <c r="K12" s="915">
        <f t="shared" si="3"/>
        <v>1</v>
      </c>
      <c r="L12" s="271">
        <f aca="true" t="shared" si="10" ref="L12:Q12">E12</f>
        <v>0</v>
      </c>
      <c r="M12" s="271">
        <f t="shared" si="10"/>
        <v>187177</v>
      </c>
      <c r="N12" s="266">
        <f t="shared" si="10"/>
        <v>187177</v>
      </c>
      <c r="O12" s="266">
        <f t="shared" si="10"/>
        <v>187177</v>
      </c>
      <c r="P12" s="266">
        <f t="shared" si="10"/>
        <v>187177</v>
      </c>
      <c r="Q12" s="266">
        <f t="shared" si="10"/>
        <v>187177</v>
      </c>
      <c r="R12" s="915">
        <f t="shared" si="5"/>
        <v>1</v>
      </c>
      <c r="S12" s="266">
        <v>0</v>
      </c>
      <c r="T12" s="266">
        <v>0</v>
      </c>
      <c r="U12" s="266">
        <v>0</v>
      </c>
      <c r="V12" s="266">
        <v>0</v>
      </c>
      <c r="W12" s="266">
        <v>0</v>
      </c>
      <c r="X12" s="266">
        <v>0</v>
      </c>
      <c r="Y12" s="915"/>
      <c r="Z12" s="266">
        <v>6</v>
      </c>
      <c r="AB12" s="688"/>
    </row>
    <row r="13" spans="1:28" s="4" customFormat="1" ht="31.5" customHeight="1">
      <c r="A13" s="51"/>
      <c r="B13" s="60"/>
      <c r="C13" s="60" t="s">
        <v>83</v>
      </c>
      <c r="D13" s="263" t="s">
        <v>275</v>
      </c>
      <c r="E13" s="266">
        <v>11041025</v>
      </c>
      <c r="F13" s="266">
        <v>11041025</v>
      </c>
      <c r="G13" s="266">
        <v>11251025</v>
      </c>
      <c r="H13" s="266">
        <v>13251025</v>
      </c>
      <c r="I13" s="266">
        <v>10899721</v>
      </c>
      <c r="J13" s="266">
        <v>10643721</v>
      </c>
      <c r="K13" s="915">
        <f t="shared" si="3"/>
        <v>0.9765131602909836</v>
      </c>
      <c r="L13" s="266">
        <f>'9.sz.m.átadott pe (3)'!B60</f>
        <v>0</v>
      </c>
      <c r="M13" s="266">
        <f>'9.sz.m.átadott pe (3)'!C60</f>
        <v>0</v>
      </c>
      <c r="N13" s="266">
        <f>'9.sz.m.átadott pe (3)'!D60</f>
        <v>0</v>
      </c>
      <c r="O13" s="266">
        <f>'9.sz.m.átadott pe (3)'!E60</f>
        <v>0</v>
      </c>
      <c r="P13" s="266">
        <f>'9.sz.m.átadott pe (3)'!F60</f>
        <v>0</v>
      </c>
      <c r="Q13" s="266">
        <f>'9.sz.m.átadott pe (3)'!G60</f>
        <v>0</v>
      </c>
      <c r="R13" s="915"/>
      <c r="S13" s="266">
        <f>'9.sz.m.átadott pe (3)'!I60</f>
        <v>11041025</v>
      </c>
      <c r="T13" s="266">
        <f>'9.sz.m.átadott pe (3)'!J60</f>
        <v>11041025</v>
      </c>
      <c r="U13" s="266">
        <f>'9.sz.m.átadott pe (3)'!K60</f>
        <v>11251025</v>
      </c>
      <c r="V13" s="266">
        <f>'9.sz.m.átadott pe (3)'!L60</f>
        <v>13251025</v>
      </c>
      <c r="W13" s="266">
        <f>'9.sz.m.átadott pe (3)'!M60</f>
        <v>10899721</v>
      </c>
      <c r="X13" s="266">
        <f>'9.sz.m.átadott pe (3)'!N60</f>
        <v>10643721</v>
      </c>
      <c r="Y13" s="915">
        <f t="shared" si="6"/>
        <v>0.9765131602909836</v>
      </c>
      <c r="Z13" s="266">
        <f>'9.sz.m.átadott pe (3)'!P60</f>
        <v>0.8225568210761054</v>
      </c>
      <c r="AB13" s="688"/>
    </row>
    <row r="14" spans="1:28" s="4" customFormat="1" ht="36.75" customHeight="1" thickBot="1">
      <c r="A14" s="78"/>
      <c r="B14" s="79"/>
      <c r="C14" s="60" t="s">
        <v>84</v>
      </c>
      <c r="D14" s="263" t="s">
        <v>276</v>
      </c>
      <c r="E14" s="266">
        <v>142951371</v>
      </c>
      <c r="F14" s="266">
        <v>142951371</v>
      </c>
      <c r="G14" s="266">
        <v>142951371</v>
      </c>
      <c r="H14" s="266">
        <v>142951371</v>
      </c>
      <c r="I14" s="266">
        <v>139540174</v>
      </c>
      <c r="J14" s="266">
        <f>137995628+1074546+470000</f>
        <v>139540174</v>
      </c>
      <c r="K14" s="915">
        <f t="shared" si="3"/>
        <v>1</v>
      </c>
      <c r="L14" s="266">
        <f>'9.sz.m.átadott pe (3)'!B88</f>
        <v>141659583</v>
      </c>
      <c r="M14" s="266">
        <f>'9.sz.m.átadott pe (3)'!C88</f>
        <v>141659583</v>
      </c>
      <c r="N14" s="266">
        <f>'9.sz.m.átadott pe (3)'!D88</f>
        <v>141659583</v>
      </c>
      <c r="O14" s="266">
        <f>'9.sz.m.átadott pe (3)'!E88</f>
        <v>141659583</v>
      </c>
      <c r="P14" s="266">
        <f>'9.sz.m.átadott pe (3)'!F88</f>
        <v>138465628</v>
      </c>
      <c r="Q14" s="266">
        <f>'9.sz.m.átadott pe (3)'!G88</f>
        <v>138465628</v>
      </c>
      <c r="R14" s="915">
        <f t="shared" si="5"/>
        <v>1</v>
      </c>
      <c r="S14" s="266">
        <f>'9.sz.m.átadott pe (3)'!I88</f>
        <v>1291788</v>
      </c>
      <c r="T14" s="266">
        <f>'9.sz.m.átadott pe (3)'!J88</f>
        <v>1291788</v>
      </c>
      <c r="U14" s="266">
        <f>'9.sz.m.átadott pe (3)'!K88</f>
        <v>1291788</v>
      </c>
      <c r="V14" s="266">
        <f>'9.sz.m.átadott pe (3)'!L88</f>
        <v>1291788</v>
      </c>
      <c r="W14" s="266">
        <f>'9.sz.m.átadott pe (3)'!M88</f>
        <v>1074546</v>
      </c>
      <c r="X14" s="266">
        <f>'9.sz.m.átadott pe (3)'!N88</f>
        <v>1074546</v>
      </c>
      <c r="Y14" s="915">
        <f t="shared" si="6"/>
        <v>1</v>
      </c>
      <c r="Z14" s="266">
        <f>'9.sz.m.átadott pe (3)'!P88</f>
        <v>0.8318284424379232</v>
      </c>
      <c r="AB14" s="688"/>
    </row>
    <row r="15" spans="1:28" s="4" customFormat="1" ht="22.5" customHeight="1" hidden="1">
      <c r="A15" s="51"/>
      <c r="B15" s="60"/>
      <c r="C15" s="60" t="s">
        <v>87</v>
      </c>
      <c r="D15" s="263" t="s">
        <v>89</v>
      </c>
      <c r="E15" s="266"/>
      <c r="F15" s="266"/>
      <c r="G15" s="266"/>
      <c r="H15" s="266"/>
      <c r="I15" s="266"/>
      <c r="J15" s="266"/>
      <c r="K15" s="915" t="e">
        <f t="shared" si="3"/>
        <v>#DIV/0!</v>
      </c>
      <c r="L15" s="266"/>
      <c r="M15" s="266"/>
      <c r="N15" s="266"/>
      <c r="O15" s="266"/>
      <c r="P15" s="266"/>
      <c r="Q15" s="266"/>
      <c r="R15" s="915" t="e">
        <f t="shared" si="5"/>
        <v>#DIV/0!</v>
      </c>
      <c r="S15" s="266"/>
      <c r="T15" s="266"/>
      <c r="U15" s="266"/>
      <c r="V15" s="266"/>
      <c r="W15" s="266"/>
      <c r="X15" s="266"/>
      <c r="Y15" s="915" t="e">
        <f t="shared" si="6"/>
        <v>#DIV/0!</v>
      </c>
      <c r="Z15" s="266"/>
      <c r="AB15" s="688"/>
    </row>
    <row r="16" spans="1:28" s="4" customFormat="1" ht="22.5" customHeight="1" hidden="1" thickBot="1">
      <c r="A16" s="83"/>
      <c r="B16" s="74"/>
      <c r="C16" s="74" t="s">
        <v>88</v>
      </c>
      <c r="D16" s="265" t="s">
        <v>90</v>
      </c>
      <c r="E16" s="274"/>
      <c r="F16" s="274"/>
      <c r="G16" s="274"/>
      <c r="H16" s="274"/>
      <c r="I16" s="274"/>
      <c r="J16" s="274"/>
      <c r="K16" s="914" t="e">
        <f t="shared" si="3"/>
        <v>#DIV/0!</v>
      </c>
      <c r="L16" s="274"/>
      <c r="M16" s="274"/>
      <c r="N16" s="274"/>
      <c r="O16" s="274"/>
      <c r="P16" s="274"/>
      <c r="Q16" s="274"/>
      <c r="R16" s="914" t="e">
        <f t="shared" si="5"/>
        <v>#DIV/0!</v>
      </c>
      <c r="S16" s="274"/>
      <c r="T16" s="274"/>
      <c r="U16" s="274"/>
      <c r="V16" s="274"/>
      <c r="W16" s="274"/>
      <c r="X16" s="274"/>
      <c r="Y16" s="914" t="e">
        <f t="shared" si="6"/>
        <v>#DIV/0!</v>
      </c>
      <c r="Z16" s="274"/>
      <c r="AB16" s="688"/>
    </row>
    <row r="17" spans="1:26" s="4" customFormat="1" ht="22.5" customHeight="1" thickBot="1">
      <c r="A17" s="69" t="s">
        <v>27</v>
      </c>
      <c r="B17" s="1564" t="s">
        <v>91</v>
      </c>
      <c r="C17" s="1564"/>
      <c r="D17" s="1564"/>
      <c r="E17" s="270">
        <f aca="true" t="shared" si="11" ref="E17:J17">SUM(E18:E20)</f>
        <v>126658407</v>
      </c>
      <c r="F17" s="270">
        <f t="shared" si="11"/>
        <v>127158496</v>
      </c>
      <c r="G17" s="270">
        <f t="shared" si="11"/>
        <v>127158496</v>
      </c>
      <c r="H17" s="270">
        <f t="shared" si="11"/>
        <v>240363719</v>
      </c>
      <c r="I17" s="270">
        <f t="shared" si="11"/>
        <v>290263998</v>
      </c>
      <c r="J17" s="270">
        <f t="shared" si="11"/>
        <v>129497859</v>
      </c>
      <c r="K17" s="910">
        <f t="shared" si="3"/>
        <v>0.4461382048489527</v>
      </c>
      <c r="L17" s="270">
        <f aca="true" t="shared" si="12" ref="L17:Q17">SUM(L18:L20)</f>
        <v>112542963</v>
      </c>
      <c r="M17" s="270">
        <f t="shared" si="12"/>
        <v>113043052</v>
      </c>
      <c r="N17" s="270">
        <f t="shared" si="12"/>
        <v>113043052</v>
      </c>
      <c r="O17" s="270">
        <f t="shared" si="12"/>
        <v>225398275</v>
      </c>
      <c r="P17" s="270">
        <f t="shared" si="12"/>
        <v>274878554</v>
      </c>
      <c r="Q17" s="270">
        <f t="shared" si="12"/>
        <v>116764934</v>
      </c>
      <c r="R17" s="910">
        <f t="shared" si="5"/>
        <v>0.4247873553642166</v>
      </c>
      <c r="S17" s="270">
        <f aca="true" t="shared" si="13" ref="S17:X17">SUM(S18:S20)</f>
        <v>14115444</v>
      </c>
      <c r="T17" s="270">
        <f t="shared" si="13"/>
        <v>14115444</v>
      </c>
      <c r="U17" s="270">
        <f t="shared" si="13"/>
        <v>14115444</v>
      </c>
      <c r="V17" s="270">
        <f t="shared" si="13"/>
        <v>14965444</v>
      </c>
      <c r="W17" s="270">
        <f t="shared" si="13"/>
        <v>15385444</v>
      </c>
      <c r="X17" s="270">
        <f t="shared" si="13"/>
        <v>12732925</v>
      </c>
      <c r="Y17" s="910">
        <f t="shared" si="6"/>
        <v>0.8275955507036391</v>
      </c>
      <c r="Z17" s="270" t="e">
        <f>SUM(Z18:Z20)</f>
        <v>#REF!</v>
      </c>
    </row>
    <row r="18" spans="1:26" s="4" customFormat="1" ht="22.5" customHeight="1">
      <c r="A18" s="68"/>
      <c r="B18" s="73" t="s">
        <v>38</v>
      </c>
      <c r="C18" s="1558" t="s">
        <v>92</v>
      </c>
      <c r="D18" s="1558"/>
      <c r="E18" s="271">
        <v>44154059</v>
      </c>
      <c r="F18" s="271">
        <v>44654059</v>
      </c>
      <c r="G18" s="271">
        <v>44654059</v>
      </c>
      <c r="H18" s="271">
        <v>80818682</v>
      </c>
      <c r="I18" s="271">
        <v>88637672</v>
      </c>
      <c r="J18" s="271">
        <v>47586195</v>
      </c>
      <c r="K18" s="911">
        <f t="shared" si="3"/>
        <v>0.5368619676744217</v>
      </c>
      <c r="L18" s="271">
        <f aca="true" t="shared" si="14" ref="L18:Q19">+E18-S18</f>
        <v>41031747</v>
      </c>
      <c r="M18" s="271">
        <f t="shared" si="14"/>
        <v>41531747</v>
      </c>
      <c r="N18" s="271">
        <f t="shared" si="14"/>
        <v>41531747</v>
      </c>
      <c r="O18" s="271">
        <f t="shared" si="14"/>
        <v>77696370</v>
      </c>
      <c r="P18" s="271">
        <f t="shared" si="14"/>
        <v>85515360</v>
      </c>
      <c r="Q18" s="271">
        <f t="shared" si="14"/>
        <v>44979895</v>
      </c>
      <c r="R18" s="911">
        <f t="shared" si="5"/>
        <v>0.5259861503243394</v>
      </c>
      <c r="S18" s="271">
        <f>+'6.a.sz.m.fejlesztés (4)'!D13</f>
        <v>3122312</v>
      </c>
      <c r="T18" s="271">
        <f>+'6.a.sz.m.fejlesztés (4)'!E13</f>
        <v>3122312</v>
      </c>
      <c r="U18" s="271">
        <f>+'6.a.sz.m.fejlesztés (4)'!F13</f>
        <v>3122312</v>
      </c>
      <c r="V18" s="271">
        <f>+'6.a.sz.m.fejlesztés (4)'!G13</f>
        <v>3122312</v>
      </c>
      <c r="W18" s="271">
        <f>+'6.a.sz.m.fejlesztés (4)'!H13</f>
        <v>3122312</v>
      </c>
      <c r="X18" s="271">
        <f>+'6.a.sz.m.fejlesztés (4)'!I13</f>
        <v>2606300</v>
      </c>
      <c r="Y18" s="911">
        <f t="shared" si="6"/>
        <v>0.8347340048015701</v>
      </c>
      <c r="Z18" s="271" t="e">
        <f>+'6.a.sz.m.fejlesztés (4)'!#REF!</f>
        <v>#REF!</v>
      </c>
    </row>
    <row r="19" spans="1:26" s="4" customFormat="1" ht="22.5" customHeight="1">
      <c r="A19" s="51"/>
      <c r="B19" s="60" t="s">
        <v>39</v>
      </c>
      <c r="C19" s="1560" t="s">
        <v>93</v>
      </c>
      <c r="D19" s="1560"/>
      <c r="E19" s="266">
        <v>75804348</v>
      </c>
      <c r="F19" s="266">
        <v>75804348</v>
      </c>
      <c r="G19" s="266">
        <v>75804348</v>
      </c>
      <c r="H19" s="266">
        <v>151989948</v>
      </c>
      <c r="I19" s="266">
        <f>188047997+5603240</f>
        <v>193651237</v>
      </c>
      <c r="J19" s="266">
        <v>74006575</v>
      </c>
      <c r="K19" s="915">
        <f t="shared" si="3"/>
        <v>0.3821642254730343</v>
      </c>
      <c r="L19" s="271">
        <f t="shared" si="14"/>
        <v>71511216</v>
      </c>
      <c r="M19" s="271">
        <f t="shared" si="14"/>
        <v>71511216</v>
      </c>
      <c r="N19" s="266">
        <f t="shared" si="14"/>
        <v>71511216</v>
      </c>
      <c r="O19" s="266">
        <f t="shared" si="14"/>
        <v>147696816</v>
      </c>
      <c r="P19" s="266">
        <f t="shared" si="14"/>
        <v>189358105</v>
      </c>
      <c r="Q19" s="266">
        <f t="shared" si="14"/>
        <v>71779950</v>
      </c>
      <c r="R19" s="915">
        <f t="shared" si="5"/>
        <v>0.3790698581399513</v>
      </c>
      <c r="S19" s="266">
        <f>+'6.a.sz.m.fejlesztés (4)'!D41</f>
        <v>4293132</v>
      </c>
      <c r="T19" s="266">
        <f>+'6.a.sz.m.fejlesztés (4)'!E41</f>
        <v>4293132</v>
      </c>
      <c r="U19" s="266">
        <f>+'6.a.sz.m.fejlesztés (4)'!F41</f>
        <v>4293132</v>
      </c>
      <c r="V19" s="266">
        <f>+'6.a.sz.m.fejlesztés (4)'!G41</f>
        <v>4293132</v>
      </c>
      <c r="W19" s="266">
        <f>+'6.a.sz.m.fejlesztés (4)'!H41</f>
        <v>4293132</v>
      </c>
      <c r="X19" s="266">
        <f>+'6.a.sz.m.fejlesztés (4)'!I41</f>
        <v>2226625</v>
      </c>
      <c r="Y19" s="915">
        <f t="shared" si="6"/>
        <v>0.5186481571030195</v>
      </c>
      <c r="Z19" s="266" t="e">
        <f>+'6.a.sz.m.fejlesztés (4)'!#REF!</f>
        <v>#REF!</v>
      </c>
    </row>
    <row r="20" spans="1:26" s="4" customFormat="1" ht="22.5" customHeight="1">
      <c r="A20" s="80"/>
      <c r="B20" s="60" t="s">
        <v>40</v>
      </c>
      <c r="C20" s="1517" t="s">
        <v>94</v>
      </c>
      <c r="D20" s="1517"/>
      <c r="E20" s="266">
        <f aca="true" t="shared" si="15" ref="E20:L20">SUM(E21:E24)</f>
        <v>6700000</v>
      </c>
      <c r="F20" s="266">
        <f t="shared" si="15"/>
        <v>6700089</v>
      </c>
      <c r="G20" s="266">
        <f t="shared" si="15"/>
        <v>6700089</v>
      </c>
      <c r="H20" s="266">
        <f t="shared" si="15"/>
        <v>7555089</v>
      </c>
      <c r="I20" s="266">
        <f t="shared" si="15"/>
        <v>7975089</v>
      </c>
      <c r="J20" s="266">
        <f t="shared" si="15"/>
        <v>7905089</v>
      </c>
      <c r="K20" s="915">
        <f t="shared" si="3"/>
        <v>0.9912226684868345</v>
      </c>
      <c r="L20" s="266">
        <f t="shared" si="15"/>
        <v>0</v>
      </c>
      <c r="M20" s="266">
        <f>SUM(M21:M24)</f>
        <v>89</v>
      </c>
      <c r="N20" s="266">
        <f>SUM(N21:N24)</f>
        <v>89</v>
      </c>
      <c r="O20" s="266">
        <f>SUM(O21:O24)</f>
        <v>5089</v>
      </c>
      <c r="P20" s="266">
        <f>SUM(P21:P24)</f>
        <v>5089</v>
      </c>
      <c r="Q20" s="266">
        <f>SUM(Q21:Q24)</f>
        <v>5089</v>
      </c>
      <c r="R20" s="915">
        <f t="shared" si="5"/>
        <v>1</v>
      </c>
      <c r="S20" s="266">
        <f aca="true" t="shared" si="16" ref="S20:X20">SUM(S21:S24)</f>
        <v>6700000</v>
      </c>
      <c r="T20" s="266">
        <f t="shared" si="16"/>
        <v>6700000</v>
      </c>
      <c r="U20" s="266">
        <f t="shared" si="16"/>
        <v>6700000</v>
      </c>
      <c r="V20" s="266">
        <f t="shared" si="16"/>
        <v>7550000</v>
      </c>
      <c r="W20" s="266">
        <f t="shared" si="16"/>
        <v>7970000</v>
      </c>
      <c r="X20" s="266">
        <f t="shared" si="16"/>
        <v>7900000</v>
      </c>
      <c r="Y20" s="915">
        <f t="shared" si="6"/>
        <v>0.9912170639899623</v>
      </c>
      <c r="Z20" s="266">
        <f>SUM(Z21:Z24)</f>
        <v>0</v>
      </c>
    </row>
    <row r="21" spans="1:26" s="4" customFormat="1" ht="22.5" customHeight="1">
      <c r="A21" s="57"/>
      <c r="B21" s="61"/>
      <c r="C21" s="61" t="s">
        <v>95</v>
      </c>
      <c r="D21" s="184" t="s">
        <v>85</v>
      </c>
      <c r="E21" s="266">
        <v>6700000</v>
      </c>
      <c r="F21" s="266">
        <v>6700000</v>
      </c>
      <c r="G21" s="266">
        <v>6700000</v>
      </c>
      <c r="H21" s="266">
        <f>5850000+1700000</f>
        <v>7550000</v>
      </c>
      <c r="I21" s="266">
        <f>6200000+1770000</f>
        <v>7970000</v>
      </c>
      <c r="J21" s="266">
        <f>6200000+1700000</f>
        <v>7900000</v>
      </c>
      <c r="K21" s="915">
        <f t="shared" si="3"/>
        <v>0.9912170639899623</v>
      </c>
      <c r="L21" s="266">
        <f aca="true" t="shared" si="17" ref="L21:Q21">E21-S21</f>
        <v>0</v>
      </c>
      <c r="M21" s="266">
        <f t="shared" si="17"/>
        <v>0</v>
      </c>
      <c r="N21" s="266">
        <f t="shared" si="17"/>
        <v>0</v>
      </c>
      <c r="O21" s="266">
        <f t="shared" si="17"/>
        <v>0</v>
      </c>
      <c r="P21" s="266">
        <f t="shared" si="17"/>
        <v>0</v>
      </c>
      <c r="Q21" s="266">
        <f t="shared" si="17"/>
        <v>0</v>
      </c>
      <c r="R21" s="915"/>
      <c r="S21" s="266">
        <f>'9.sz.m.átadott pe (3)'!X60</f>
        <v>6700000</v>
      </c>
      <c r="T21" s="266">
        <f>'9.sz.m.átadott pe (3)'!Y60</f>
        <v>6700000</v>
      </c>
      <c r="U21" s="266">
        <f>'9.sz.m.átadott pe (3)'!Z60</f>
        <v>6700000</v>
      </c>
      <c r="V21" s="266">
        <f>'9.sz.m.átadott pe (3)'!AA60</f>
        <v>7550000</v>
      </c>
      <c r="W21" s="266">
        <f>'9.sz.m.átadott pe (3)'!AB60</f>
        <v>7970000</v>
      </c>
      <c r="X21" s="266">
        <f>'9.sz.m.átadott pe (3)'!AC60</f>
        <v>7900000</v>
      </c>
      <c r="Y21" s="915">
        <f t="shared" si="6"/>
        <v>0.9912170639899623</v>
      </c>
      <c r="Z21" s="266">
        <f>'9.sz.m.átadott pe (3)'!AE60</f>
        <v>0</v>
      </c>
    </row>
    <row r="22" spans="1:26" s="4" customFormat="1" ht="22.5" customHeight="1">
      <c r="A22" s="57"/>
      <c r="B22" s="61"/>
      <c r="C22" s="61" t="s">
        <v>96</v>
      </c>
      <c r="D22" s="184" t="s">
        <v>86</v>
      </c>
      <c r="E22" s="266"/>
      <c r="F22" s="790">
        <v>89</v>
      </c>
      <c r="G22" s="790">
        <v>89</v>
      </c>
      <c r="H22" s="790">
        <v>5089</v>
      </c>
      <c r="I22" s="790">
        <v>5089</v>
      </c>
      <c r="J22" s="790">
        <v>5089</v>
      </c>
      <c r="K22" s="1259">
        <f t="shared" si="3"/>
        <v>1</v>
      </c>
      <c r="L22" s="266">
        <v>0</v>
      </c>
      <c r="M22" s="266">
        <f>+'9.sz.m.átadott pe (3)'!R88</f>
        <v>89</v>
      </c>
      <c r="N22" s="266">
        <f>+'9.sz.m.átadott pe (3)'!S88</f>
        <v>89</v>
      </c>
      <c r="O22" s="266">
        <f>+'9.sz.m.átadott pe (3)'!T88</f>
        <v>5089</v>
      </c>
      <c r="P22" s="266">
        <f>+'9.sz.m.átadott pe (3)'!U88</f>
        <v>5089</v>
      </c>
      <c r="Q22" s="266">
        <f>+'9.sz.m.átadott pe (3)'!V88</f>
        <v>5089</v>
      </c>
      <c r="R22" s="1259">
        <f t="shared" si="5"/>
        <v>1</v>
      </c>
      <c r="S22" s="266">
        <v>0</v>
      </c>
      <c r="T22" s="266">
        <v>0</v>
      </c>
      <c r="U22" s="266">
        <v>0</v>
      </c>
      <c r="V22" s="266">
        <v>0</v>
      </c>
      <c r="W22" s="266">
        <v>0</v>
      </c>
      <c r="X22" s="266">
        <v>0</v>
      </c>
      <c r="Y22" s="1259"/>
      <c r="Z22" s="266">
        <v>0</v>
      </c>
    </row>
    <row r="23" spans="1:26" s="4" customFormat="1" ht="36.75" customHeight="1">
      <c r="A23" s="80"/>
      <c r="B23" s="184"/>
      <c r="C23" s="61" t="s">
        <v>97</v>
      </c>
      <c r="D23" s="184" t="s">
        <v>463</v>
      </c>
      <c r="E23" s="266"/>
      <c r="F23" s="266"/>
      <c r="G23" s="266"/>
      <c r="H23" s="266"/>
      <c r="I23" s="266"/>
      <c r="J23" s="266"/>
      <c r="K23" s="915"/>
      <c r="L23" s="266">
        <v>0</v>
      </c>
      <c r="M23" s="266">
        <v>0</v>
      </c>
      <c r="N23" s="266">
        <v>0</v>
      </c>
      <c r="O23" s="266">
        <v>0</v>
      </c>
      <c r="P23" s="266">
        <v>0</v>
      </c>
      <c r="Q23" s="266">
        <v>0</v>
      </c>
      <c r="R23" s="915"/>
      <c r="S23" s="266">
        <v>0</v>
      </c>
      <c r="T23" s="266">
        <v>0</v>
      </c>
      <c r="U23" s="266">
        <v>0</v>
      </c>
      <c r="V23" s="266">
        <v>0</v>
      </c>
      <c r="W23" s="266">
        <v>0</v>
      </c>
      <c r="X23" s="266">
        <v>0</v>
      </c>
      <c r="Y23" s="915"/>
      <c r="Z23" s="266">
        <v>0</v>
      </c>
    </row>
    <row r="24" spans="1:26" s="4" customFormat="1" ht="22.5" customHeight="1" thickBot="1">
      <c r="A24" s="207"/>
      <c r="B24" s="208"/>
      <c r="C24" s="209" t="s">
        <v>207</v>
      </c>
      <c r="D24" s="208" t="s">
        <v>208</v>
      </c>
      <c r="E24" s="297">
        <v>0</v>
      </c>
      <c r="F24" s="297">
        <v>0</v>
      </c>
      <c r="G24" s="297">
        <v>0</v>
      </c>
      <c r="H24" s="297">
        <v>0</v>
      </c>
      <c r="I24" s="297">
        <v>0</v>
      </c>
      <c r="J24" s="297">
        <v>0</v>
      </c>
      <c r="K24" s="1260"/>
      <c r="L24" s="297">
        <v>0</v>
      </c>
      <c r="M24" s="297">
        <v>0</v>
      </c>
      <c r="N24" s="297">
        <v>0</v>
      </c>
      <c r="O24" s="297">
        <v>0</v>
      </c>
      <c r="P24" s="297">
        <v>0</v>
      </c>
      <c r="Q24" s="297">
        <v>0</v>
      </c>
      <c r="R24" s="1260"/>
      <c r="S24" s="297">
        <v>0</v>
      </c>
      <c r="T24" s="297">
        <v>0</v>
      </c>
      <c r="U24" s="297">
        <v>0</v>
      </c>
      <c r="V24" s="297">
        <v>0</v>
      </c>
      <c r="W24" s="297">
        <v>0</v>
      </c>
      <c r="X24" s="297">
        <v>0</v>
      </c>
      <c r="Y24" s="1260"/>
      <c r="Z24" s="297">
        <v>0</v>
      </c>
    </row>
    <row r="25" spans="1:26" s="4" customFormat="1" ht="22.5" customHeight="1" thickBot="1">
      <c r="A25" s="69" t="s">
        <v>9</v>
      </c>
      <c r="B25" s="1564" t="s">
        <v>98</v>
      </c>
      <c r="C25" s="1564"/>
      <c r="D25" s="1564"/>
      <c r="E25" s="270">
        <f aca="true" t="shared" si="18" ref="E25:J25">SUM(E26:E28)</f>
        <v>86768299</v>
      </c>
      <c r="F25" s="270">
        <f t="shared" si="18"/>
        <v>79038902</v>
      </c>
      <c r="G25" s="270">
        <f t="shared" si="18"/>
        <v>67762298</v>
      </c>
      <c r="H25" s="270">
        <f t="shared" si="18"/>
        <v>66635603</v>
      </c>
      <c r="I25" s="270">
        <f t="shared" si="18"/>
        <v>0</v>
      </c>
      <c r="J25" s="270">
        <f t="shared" si="18"/>
        <v>0</v>
      </c>
      <c r="K25" s="910"/>
      <c r="L25" s="270">
        <f aca="true" t="shared" si="19" ref="L25:Q25">SUM(L26:L28)</f>
        <v>86768299</v>
      </c>
      <c r="M25" s="270">
        <f t="shared" si="19"/>
        <v>79038902</v>
      </c>
      <c r="N25" s="270">
        <f t="shared" si="19"/>
        <v>67762298</v>
      </c>
      <c r="O25" s="270">
        <f t="shared" si="19"/>
        <v>66635603</v>
      </c>
      <c r="P25" s="270">
        <f t="shared" si="19"/>
        <v>0</v>
      </c>
      <c r="Q25" s="270">
        <f t="shared" si="19"/>
        <v>0</v>
      </c>
      <c r="R25" s="910"/>
      <c r="S25" s="270">
        <f aca="true" t="shared" si="20" ref="S25:X25">SUM(S26:S28)</f>
        <v>0</v>
      </c>
      <c r="T25" s="270">
        <f t="shared" si="20"/>
        <v>0</v>
      </c>
      <c r="U25" s="270">
        <f t="shared" si="20"/>
        <v>0</v>
      </c>
      <c r="V25" s="270">
        <f t="shared" si="20"/>
        <v>0</v>
      </c>
      <c r="W25" s="270">
        <f t="shared" si="20"/>
        <v>0</v>
      </c>
      <c r="X25" s="270">
        <f t="shared" si="20"/>
        <v>0</v>
      </c>
      <c r="Y25" s="910"/>
      <c r="Z25" s="270">
        <f>SUM(Z26:Z28)</f>
        <v>0</v>
      </c>
    </row>
    <row r="26" spans="1:26" s="4" customFormat="1" ht="22.5" customHeight="1">
      <c r="A26" s="68"/>
      <c r="B26" s="73" t="s">
        <v>41</v>
      </c>
      <c r="C26" s="1558" t="s">
        <v>2</v>
      </c>
      <c r="D26" s="1558"/>
      <c r="E26" s="271">
        <v>86768299</v>
      </c>
      <c r="F26" s="271">
        <v>79038902</v>
      </c>
      <c r="G26" s="271">
        <v>67762298</v>
      </c>
      <c r="H26" s="271">
        <v>66635603</v>
      </c>
      <c r="I26" s="271">
        <v>0</v>
      </c>
      <c r="J26" s="271">
        <v>0</v>
      </c>
      <c r="K26" s="911"/>
      <c r="L26" s="271">
        <f aca="true" t="shared" si="21" ref="L26:Q26">E26</f>
        <v>86768299</v>
      </c>
      <c r="M26" s="271">
        <f t="shared" si="21"/>
        <v>79038902</v>
      </c>
      <c r="N26" s="271">
        <f t="shared" si="21"/>
        <v>67762298</v>
      </c>
      <c r="O26" s="271">
        <f t="shared" si="21"/>
        <v>66635603</v>
      </c>
      <c r="P26" s="271">
        <f t="shared" si="21"/>
        <v>0</v>
      </c>
      <c r="Q26" s="271">
        <f t="shared" si="21"/>
        <v>0</v>
      </c>
      <c r="R26" s="911"/>
      <c r="S26" s="271">
        <v>0</v>
      </c>
      <c r="T26" s="271">
        <v>0</v>
      </c>
      <c r="U26" s="271">
        <v>0</v>
      </c>
      <c r="V26" s="271">
        <v>0</v>
      </c>
      <c r="W26" s="271">
        <v>0</v>
      </c>
      <c r="X26" s="271">
        <v>0</v>
      </c>
      <c r="Y26" s="911"/>
      <c r="Z26" s="271">
        <v>0</v>
      </c>
    </row>
    <row r="27" spans="1:26" s="7" customFormat="1" ht="22.5" customHeight="1">
      <c r="A27" s="78"/>
      <c r="B27" s="60" t="s">
        <v>42</v>
      </c>
      <c r="C27" s="1571" t="s">
        <v>277</v>
      </c>
      <c r="D27" s="1571"/>
      <c r="E27" s="266">
        <v>0</v>
      </c>
      <c r="F27" s="266">
        <v>0</v>
      </c>
      <c r="G27" s="266">
        <v>0</v>
      </c>
      <c r="H27" s="266">
        <v>0</v>
      </c>
      <c r="I27" s="266">
        <v>0</v>
      </c>
      <c r="J27" s="266">
        <v>0</v>
      </c>
      <c r="K27" s="915"/>
      <c r="L27" s="266">
        <v>0</v>
      </c>
      <c r="M27" s="266">
        <v>0</v>
      </c>
      <c r="N27" s="266">
        <v>0</v>
      </c>
      <c r="O27" s="266">
        <v>0</v>
      </c>
      <c r="P27" s="266">
        <v>0</v>
      </c>
      <c r="Q27" s="266">
        <v>0</v>
      </c>
      <c r="R27" s="915"/>
      <c r="S27" s="266">
        <v>0</v>
      </c>
      <c r="T27" s="266">
        <v>0</v>
      </c>
      <c r="U27" s="266">
        <v>0</v>
      </c>
      <c r="V27" s="266">
        <v>0</v>
      </c>
      <c r="W27" s="266">
        <v>0</v>
      </c>
      <c r="X27" s="266">
        <v>0</v>
      </c>
      <c r="Y27" s="915"/>
      <c r="Z27" s="266">
        <v>0</v>
      </c>
    </row>
    <row r="28" spans="1:26" s="7" customFormat="1" ht="22.5" customHeight="1" thickBot="1">
      <c r="A28" s="84"/>
      <c r="B28" s="74" t="s">
        <v>66</v>
      </c>
      <c r="C28" s="85" t="s">
        <v>99</v>
      </c>
      <c r="D28" s="85"/>
      <c r="E28" s="274">
        <v>0</v>
      </c>
      <c r="F28" s="274">
        <v>0</v>
      </c>
      <c r="G28" s="274">
        <v>0</v>
      </c>
      <c r="H28" s="274">
        <v>0</v>
      </c>
      <c r="I28" s="274">
        <v>0</v>
      </c>
      <c r="J28" s="274">
        <v>0</v>
      </c>
      <c r="K28" s="914"/>
      <c r="L28" s="274">
        <v>0</v>
      </c>
      <c r="M28" s="274">
        <v>0</v>
      </c>
      <c r="N28" s="274">
        <v>0</v>
      </c>
      <c r="O28" s="274">
        <v>0</v>
      </c>
      <c r="P28" s="274">
        <v>0</v>
      </c>
      <c r="Q28" s="274">
        <v>0</v>
      </c>
      <c r="R28" s="914"/>
      <c r="S28" s="274">
        <v>0</v>
      </c>
      <c r="T28" s="274">
        <v>0</v>
      </c>
      <c r="U28" s="274">
        <v>0</v>
      </c>
      <c r="V28" s="274">
        <v>0</v>
      </c>
      <c r="W28" s="274">
        <v>0</v>
      </c>
      <c r="X28" s="274">
        <v>0</v>
      </c>
      <c r="Y28" s="914"/>
      <c r="Z28" s="274">
        <v>0</v>
      </c>
    </row>
    <row r="29" spans="1:26" s="40" customFormat="1" ht="22.5" customHeight="1" thickBot="1">
      <c r="A29" s="48" t="s">
        <v>10</v>
      </c>
      <c r="B29" s="75" t="s">
        <v>100</v>
      </c>
      <c r="C29" s="75"/>
      <c r="D29" s="75"/>
      <c r="E29" s="272">
        <v>0</v>
      </c>
      <c r="F29" s="272">
        <v>0</v>
      </c>
      <c r="G29" s="272">
        <v>0</v>
      </c>
      <c r="H29" s="272">
        <v>0</v>
      </c>
      <c r="I29" s="272">
        <v>0</v>
      </c>
      <c r="J29" s="272">
        <v>0</v>
      </c>
      <c r="K29" s="912"/>
      <c r="L29" s="272">
        <v>0</v>
      </c>
      <c r="M29" s="272">
        <v>0</v>
      </c>
      <c r="N29" s="272">
        <v>0</v>
      </c>
      <c r="O29" s="272">
        <v>0</v>
      </c>
      <c r="P29" s="272">
        <v>0</v>
      </c>
      <c r="Q29" s="272">
        <v>0</v>
      </c>
      <c r="R29" s="912"/>
      <c r="S29" s="272">
        <v>0</v>
      </c>
      <c r="T29" s="272">
        <v>0</v>
      </c>
      <c r="U29" s="272">
        <v>0</v>
      </c>
      <c r="V29" s="272">
        <v>0</v>
      </c>
      <c r="W29" s="272">
        <v>0</v>
      </c>
      <c r="X29" s="272">
        <v>0</v>
      </c>
      <c r="Y29" s="912"/>
      <c r="Z29" s="272">
        <v>0</v>
      </c>
    </row>
    <row r="30" spans="1:26" s="40" customFormat="1" ht="22.5" customHeight="1" hidden="1" thickBot="1">
      <c r="A30" s="69"/>
      <c r="B30" s="1564"/>
      <c r="C30" s="1564"/>
      <c r="D30" s="1564"/>
      <c r="E30" s="559"/>
      <c r="F30" s="559"/>
      <c r="G30" s="559"/>
      <c r="H30" s="559"/>
      <c r="I30" s="559"/>
      <c r="J30" s="559"/>
      <c r="K30" s="1261" t="e">
        <f t="shared" si="3"/>
        <v>#DIV/0!</v>
      </c>
      <c r="L30" s="559"/>
      <c r="M30" s="559"/>
      <c r="N30" s="559"/>
      <c r="O30" s="559"/>
      <c r="P30" s="559"/>
      <c r="Q30" s="559"/>
      <c r="R30" s="1261" t="e">
        <f t="shared" si="5"/>
        <v>#DIV/0!</v>
      </c>
      <c r="S30" s="559"/>
      <c r="T30" s="559"/>
      <c r="U30" s="559"/>
      <c r="V30" s="559"/>
      <c r="W30" s="559"/>
      <c r="X30" s="559"/>
      <c r="Y30" s="1261" t="e">
        <f t="shared" si="6"/>
        <v>#DIV/0!</v>
      </c>
      <c r="Z30"/>
    </row>
    <row r="31" spans="1:26" s="40" customFormat="1" ht="22.5" customHeight="1" thickBot="1">
      <c r="A31" s="69" t="s">
        <v>11</v>
      </c>
      <c r="B31" s="1535" t="s">
        <v>101</v>
      </c>
      <c r="C31" s="1535"/>
      <c r="D31" s="1535"/>
      <c r="E31" s="270">
        <f aca="true" t="shared" si="22" ref="E31:T31">E6+E17+E25+E29</f>
        <v>533342560</v>
      </c>
      <c r="F31" s="270">
        <f t="shared" si="22"/>
        <v>528139647</v>
      </c>
      <c r="G31" s="270">
        <f t="shared" si="22"/>
        <v>528184647</v>
      </c>
      <c r="H31" s="270">
        <f t="shared" si="22"/>
        <v>648886955</v>
      </c>
      <c r="I31" s="270">
        <f t="shared" si="22"/>
        <v>752560973</v>
      </c>
      <c r="J31" s="270">
        <f t="shared" si="22"/>
        <v>435765676</v>
      </c>
      <c r="K31" s="910">
        <f t="shared" si="3"/>
        <v>0.5790436810227734</v>
      </c>
      <c r="L31" s="270">
        <f t="shared" si="22"/>
        <v>443385825</v>
      </c>
      <c r="M31" s="270">
        <f t="shared" si="22"/>
        <v>438182912</v>
      </c>
      <c r="N31" s="270">
        <f t="shared" si="22"/>
        <v>438017912</v>
      </c>
      <c r="O31" s="270">
        <f t="shared" si="22"/>
        <v>556990220</v>
      </c>
      <c r="P31" s="270">
        <f t="shared" si="22"/>
        <v>662759084</v>
      </c>
      <c r="Q31" s="270">
        <f>Q6+Q17+Q25+Q29</f>
        <v>364312114</v>
      </c>
      <c r="R31" s="910">
        <f t="shared" si="5"/>
        <v>0.5496901103206908</v>
      </c>
      <c r="S31" s="270">
        <f t="shared" si="22"/>
        <v>89956735</v>
      </c>
      <c r="T31" s="270">
        <f t="shared" si="22"/>
        <v>89956735</v>
      </c>
      <c r="U31" s="270">
        <f>U6+U17+U25+U29</f>
        <v>90166735</v>
      </c>
      <c r="V31" s="270">
        <f>V6+V17+V25+V29</f>
        <v>91896735</v>
      </c>
      <c r="W31" s="270">
        <f>W6+W17+W25+W29</f>
        <v>89801889</v>
      </c>
      <c r="X31" s="270">
        <f>X6+X17+X25+X29</f>
        <v>71453562</v>
      </c>
      <c r="Y31" s="910">
        <f t="shared" si="6"/>
        <v>0.7956799438818041</v>
      </c>
      <c r="Z31" s="270" t="e">
        <f>Z6+Z17+Z25+Z29</f>
        <v>#REF!</v>
      </c>
    </row>
    <row r="32" spans="1:26" s="40" customFormat="1" ht="22.5" customHeight="1" thickBot="1">
      <c r="A32" s="48" t="s">
        <v>12</v>
      </c>
      <c r="B32" s="1563" t="s">
        <v>102</v>
      </c>
      <c r="C32" s="1563"/>
      <c r="D32" s="1563"/>
      <c r="E32" s="273">
        <f aca="true" t="shared" si="23" ref="E32:J32">SUM(E33:E36)</f>
        <v>250134750</v>
      </c>
      <c r="F32" s="273">
        <f t="shared" si="23"/>
        <v>255565063</v>
      </c>
      <c r="G32" s="273">
        <f t="shared" si="23"/>
        <v>255690063</v>
      </c>
      <c r="H32" s="273">
        <f t="shared" si="23"/>
        <v>256301063</v>
      </c>
      <c r="I32" s="273">
        <f t="shared" si="23"/>
        <v>243983366</v>
      </c>
      <c r="J32" s="273">
        <f t="shared" si="23"/>
        <v>243983366</v>
      </c>
      <c r="K32" s="913">
        <f t="shared" si="3"/>
        <v>1</v>
      </c>
      <c r="L32" s="273">
        <f aca="true" t="shared" si="24" ref="L32:Q32">SUM(L33:L36)</f>
        <v>241478850</v>
      </c>
      <c r="M32" s="273">
        <f t="shared" si="24"/>
        <v>246909163</v>
      </c>
      <c r="N32" s="273">
        <f t="shared" si="24"/>
        <v>247034163</v>
      </c>
      <c r="O32" s="273">
        <f t="shared" si="24"/>
        <v>247645163</v>
      </c>
      <c r="P32" s="273">
        <f t="shared" si="24"/>
        <v>237141714</v>
      </c>
      <c r="Q32" s="273">
        <f t="shared" si="24"/>
        <v>237141714</v>
      </c>
      <c r="R32" s="913">
        <f t="shared" si="5"/>
        <v>1</v>
      </c>
      <c r="S32" s="273">
        <f aca="true" t="shared" si="25" ref="S32:X32">SUM(S33:S35)</f>
        <v>8655900</v>
      </c>
      <c r="T32" s="273">
        <f t="shared" si="25"/>
        <v>8655900</v>
      </c>
      <c r="U32" s="273">
        <f t="shared" si="25"/>
        <v>8655900</v>
      </c>
      <c r="V32" s="273">
        <f t="shared" si="25"/>
        <v>8655900</v>
      </c>
      <c r="W32" s="273">
        <f t="shared" si="25"/>
        <v>6841652</v>
      </c>
      <c r="X32" s="273">
        <f t="shared" si="25"/>
        <v>6841652</v>
      </c>
      <c r="Y32" s="913">
        <f t="shared" si="6"/>
        <v>1</v>
      </c>
      <c r="Z32" s="273">
        <f>SUM(Z33:Z35)</f>
        <v>6843890</v>
      </c>
    </row>
    <row r="33" spans="1:26" s="4" customFormat="1" ht="22.5" customHeight="1">
      <c r="A33" s="87"/>
      <c r="B33" s="73" t="s">
        <v>45</v>
      </c>
      <c r="C33" s="1597" t="s">
        <v>279</v>
      </c>
      <c r="D33" s="1597"/>
      <c r="E33" s="271">
        <v>2267801</v>
      </c>
      <c r="F33" s="271">
        <v>2267801</v>
      </c>
      <c r="G33" s="271">
        <v>2267801</v>
      </c>
      <c r="H33" s="271">
        <v>2267801</v>
      </c>
      <c r="I33" s="271">
        <v>2267801</v>
      </c>
      <c r="J33" s="271">
        <v>2267801</v>
      </c>
      <c r="K33" s="911">
        <f t="shared" si="3"/>
        <v>1</v>
      </c>
      <c r="L33" s="271">
        <f aca="true" t="shared" si="26" ref="L33:Q36">E33</f>
        <v>2267801</v>
      </c>
      <c r="M33" s="271">
        <f t="shared" si="26"/>
        <v>2267801</v>
      </c>
      <c r="N33" s="271">
        <f t="shared" si="26"/>
        <v>2267801</v>
      </c>
      <c r="O33" s="271">
        <f t="shared" si="26"/>
        <v>2267801</v>
      </c>
      <c r="P33" s="271">
        <f t="shared" si="26"/>
        <v>2267801</v>
      </c>
      <c r="Q33" s="271">
        <f t="shared" si="26"/>
        <v>2267801</v>
      </c>
      <c r="R33" s="911">
        <f t="shared" si="5"/>
        <v>1</v>
      </c>
      <c r="S33" s="271"/>
      <c r="T33" s="271"/>
      <c r="U33" s="271"/>
      <c r="V33" s="271"/>
      <c r="W33" s="271"/>
      <c r="X33" s="271"/>
      <c r="Y33" s="911"/>
      <c r="Z33" s="271"/>
    </row>
    <row r="34" spans="1:26" s="4" customFormat="1" ht="22.5" customHeight="1">
      <c r="A34" s="51"/>
      <c r="B34" s="60" t="s">
        <v>321</v>
      </c>
      <c r="C34" s="1560" t="s">
        <v>446</v>
      </c>
      <c r="D34" s="1560"/>
      <c r="E34" s="266"/>
      <c r="F34" s="266"/>
      <c r="G34" s="266"/>
      <c r="H34" s="266"/>
      <c r="I34" s="266"/>
      <c r="J34" s="266"/>
      <c r="K34" s="915"/>
      <c r="L34" s="266">
        <f t="shared" si="26"/>
        <v>0</v>
      </c>
      <c r="M34" s="266">
        <f t="shared" si="26"/>
        <v>0</v>
      </c>
      <c r="N34" s="266">
        <f t="shared" si="26"/>
        <v>0</v>
      </c>
      <c r="O34" s="266">
        <f t="shared" si="26"/>
        <v>0</v>
      </c>
      <c r="P34" s="266">
        <f t="shared" si="26"/>
        <v>0</v>
      </c>
      <c r="Q34" s="266">
        <f t="shared" si="26"/>
        <v>0</v>
      </c>
      <c r="R34" s="915"/>
      <c r="S34" s="266"/>
      <c r="T34" s="266"/>
      <c r="U34" s="266"/>
      <c r="V34" s="266"/>
      <c r="W34" s="266"/>
      <c r="X34" s="266"/>
      <c r="Y34" s="915"/>
      <c r="Z34" s="266"/>
    </row>
    <row r="35" spans="1:26" s="4" customFormat="1" ht="37.5" customHeight="1" thickBot="1">
      <c r="A35" s="464"/>
      <c r="B35" s="465" t="s">
        <v>419</v>
      </c>
      <c r="C35" s="1595" t="s">
        <v>278</v>
      </c>
      <c r="D35" s="1596"/>
      <c r="E35" s="467">
        <v>237554392</v>
      </c>
      <c r="F35" s="467">
        <v>242984705</v>
      </c>
      <c r="G35" s="467">
        <v>243109705</v>
      </c>
      <c r="H35" s="467">
        <v>243720705</v>
      </c>
      <c r="I35" s="467">
        <v>231403008</v>
      </c>
      <c r="J35" s="467">
        <v>231403008</v>
      </c>
      <c r="K35" s="1262">
        <f t="shared" si="3"/>
        <v>1</v>
      </c>
      <c r="L35" s="467">
        <f aca="true" t="shared" si="27" ref="L35:Q35">E35-S35</f>
        <v>228898492</v>
      </c>
      <c r="M35" s="467">
        <f t="shared" si="27"/>
        <v>234328805</v>
      </c>
      <c r="N35" s="467">
        <f t="shared" si="27"/>
        <v>234453805</v>
      </c>
      <c r="O35" s="467">
        <f t="shared" si="27"/>
        <v>235064805</v>
      </c>
      <c r="P35" s="467">
        <f t="shared" si="27"/>
        <v>224561356</v>
      </c>
      <c r="Q35" s="467">
        <f t="shared" si="27"/>
        <v>224561356</v>
      </c>
      <c r="R35" s="1262">
        <f t="shared" si="5"/>
        <v>1</v>
      </c>
      <c r="S35" s="467">
        <f>+'5.1 sz. m Köz Hiv'!S27</f>
        <v>8655900</v>
      </c>
      <c r="T35" s="467">
        <f>+'5.1 sz. m Köz Hiv'!T27</f>
        <v>8655900</v>
      </c>
      <c r="U35" s="467">
        <f>+'5.1 sz. m Köz Hiv'!U27</f>
        <v>8655900</v>
      </c>
      <c r="V35" s="467">
        <f>+'5.1 sz. m Köz Hiv'!V27</f>
        <v>8655900</v>
      </c>
      <c r="W35" s="467">
        <f>+'5.1 sz. m Köz Hiv'!W27</f>
        <v>6841652</v>
      </c>
      <c r="X35" s="467">
        <f>+'5.1 sz. m Köz Hiv'!X27</f>
        <v>6841652</v>
      </c>
      <c r="Y35" s="1262">
        <f t="shared" si="6"/>
        <v>1</v>
      </c>
      <c r="Z35">
        <f>+'5.1 sz. m Köz Hiv'!AD27</f>
        <v>6843890</v>
      </c>
    </row>
    <row r="36" spans="1:26" s="4" customFormat="1" ht="22.5" customHeight="1" thickBot="1">
      <c r="A36" s="464"/>
      <c r="B36" s="465" t="s">
        <v>444</v>
      </c>
      <c r="C36" s="466" t="s">
        <v>418</v>
      </c>
      <c r="D36" s="466"/>
      <c r="E36" s="467">
        <v>10312557</v>
      </c>
      <c r="F36" s="467">
        <v>10312557</v>
      </c>
      <c r="G36" s="467">
        <v>10312557</v>
      </c>
      <c r="H36" s="467">
        <v>10312557</v>
      </c>
      <c r="I36" s="467">
        <v>10312557</v>
      </c>
      <c r="J36" s="467">
        <v>10312557</v>
      </c>
      <c r="K36" s="1262">
        <f t="shared" si="3"/>
        <v>1</v>
      </c>
      <c r="L36" s="467">
        <f t="shared" si="26"/>
        <v>10312557</v>
      </c>
      <c r="M36" s="467">
        <f t="shared" si="26"/>
        <v>10312557</v>
      </c>
      <c r="N36" s="467">
        <f t="shared" si="26"/>
        <v>10312557</v>
      </c>
      <c r="O36" s="467">
        <f t="shared" si="26"/>
        <v>10312557</v>
      </c>
      <c r="P36" s="467">
        <f t="shared" si="26"/>
        <v>10312557</v>
      </c>
      <c r="Q36" s="467">
        <f t="shared" si="26"/>
        <v>10312557</v>
      </c>
      <c r="R36" s="1262">
        <f t="shared" si="5"/>
        <v>1</v>
      </c>
      <c r="S36" s="467"/>
      <c r="T36" s="467"/>
      <c r="U36" s="467"/>
      <c r="V36" s="467"/>
      <c r="W36" s="467"/>
      <c r="X36" s="467"/>
      <c r="Y36" s="1262"/>
      <c r="Z36"/>
    </row>
    <row r="37" spans="1:26" s="4" customFormat="1" ht="22.5" customHeight="1" thickBot="1">
      <c r="A37" s="69" t="s">
        <v>445</v>
      </c>
      <c r="B37" s="1535" t="s">
        <v>235</v>
      </c>
      <c r="C37" s="1535"/>
      <c r="D37" s="1535"/>
      <c r="E37" s="270">
        <f aca="true" t="shared" si="28" ref="E37:J37">E31+E32</f>
        <v>783477310</v>
      </c>
      <c r="F37" s="270">
        <f t="shared" si="28"/>
        <v>783704710</v>
      </c>
      <c r="G37" s="270">
        <f t="shared" si="28"/>
        <v>783874710</v>
      </c>
      <c r="H37" s="270">
        <f t="shared" si="28"/>
        <v>905188018</v>
      </c>
      <c r="I37" s="270">
        <f t="shared" si="28"/>
        <v>996544339</v>
      </c>
      <c r="J37" s="270">
        <f t="shared" si="28"/>
        <v>679749042</v>
      </c>
      <c r="K37" s="910">
        <f t="shared" si="3"/>
        <v>0.6821061696884517</v>
      </c>
      <c r="L37" s="270">
        <f aca="true" t="shared" si="29" ref="L37:Q37">L31+L32</f>
        <v>684864675</v>
      </c>
      <c r="M37" s="270">
        <f t="shared" si="29"/>
        <v>685092075</v>
      </c>
      <c r="N37" s="270">
        <f t="shared" si="29"/>
        <v>685052075</v>
      </c>
      <c r="O37" s="270">
        <f t="shared" si="29"/>
        <v>804635383</v>
      </c>
      <c r="P37" s="270">
        <f t="shared" si="29"/>
        <v>899900798</v>
      </c>
      <c r="Q37" s="270">
        <f t="shared" si="29"/>
        <v>601453828</v>
      </c>
      <c r="R37" s="910">
        <f t="shared" si="5"/>
        <v>0.6683557002468621</v>
      </c>
      <c r="S37" s="270">
        <f aca="true" t="shared" si="30" ref="S37:X37">S31+S32</f>
        <v>98612635</v>
      </c>
      <c r="T37" s="270">
        <f t="shared" si="30"/>
        <v>98612635</v>
      </c>
      <c r="U37" s="270">
        <f t="shared" si="30"/>
        <v>98822635</v>
      </c>
      <c r="V37" s="270">
        <f t="shared" si="30"/>
        <v>100552635</v>
      </c>
      <c r="W37" s="270">
        <f t="shared" si="30"/>
        <v>96643541</v>
      </c>
      <c r="X37" s="270">
        <f t="shared" si="30"/>
        <v>78295214</v>
      </c>
      <c r="Y37" s="910">
        <f t="shared" si="6"/>
        <v>0.8101443013144561</v>
      </c>
      <c r="Z37" s="270" t="e">
        <f>Z31+Z32</f>
        <v>#REF!</v>
      </c>
    </row>
    <row r="38" spans="1:26" s="4" customFormat="1" ht="19.5" customHeight="1" hidden="1" thickBot="1">
      <c r="A38" s="1521" t="s">
        <v>236</v>
      </c>
      <c r="B38" s="1522"/>
      <c r="C38" s="1522"/>
      <c r="D38" s="1522"/>
      <c r="E38" s="418"/>
      <c r="F38" s="418"/>
      <c r="G38" s="418"/>
      <c r="H38" s="418"/>
      <c r="I38" s="418"/>
      <c r="J38" s="418"/>
      <c r="K38" s="1263" t="e">
        <f t="shared" si="3"/>
        <v>#DIV/0!</v>
      </c>
      <c r="L38" s="418"/>
      <c r="M38" s="418"/>
      <c r="N38" s="418"/>
      <c r="O38" s="418"/>
      <c r="P38" s="418"/>
      <c r="Q38" s="418"/>
      <c r="R38" s="1263" t="e">
        <f t="shared" si="5"/>
        <v>#DIV/0!</v>
      </c>
      <c r="S38" s="418"/>
      <c r="T38" s="418"/>
      <c r="U38" s="418"/>
      <c r="V38" s="418"/>
      <c r="W38" s="418"/>
      <c r="X38" s="418"/>
      <c r="Y38" s="1263" t="e">
        <f t="shared" si="6"/>
        <v>#DIV/0!</v>
      </c>
      <c r="Z38"/>
    </row>
    <row r="39" spans="1:26" s="4" customFormat="1" ht="19.5" customHeight="1" thickBot="1">
      <c r="A39" s="1534" t="s">
        <v>7</v>
      </c>
      <c r="B39" s="1535"/>
      <c r="C39" s="1535"/>
      <c r="D39" s="1535"/>
      <c r="E39" s="298">
        <f aca="true" t="shared" si="31" ref="E39:J39">SUM(E37:E38)</f>
        <v>783477310</v>
      </c>
      <c r="F39" s="298">
        <f t="shared" si="31"/>
        <v>783704710</v>
      </c>
      <c r="G39" s="298">
        <f t="shared" si="31"/>
        <v>783874710</v>
      </c>
      <c r="H39" s="298">
        <f t="shared" si="31"/>
        <v>905188018</v>
      </c>
      <c r="I39" s="298">
        <f t="shared" si="31"/>
        <v>996544339</v>
      </c>
      <c r="J39" s="298">
        <f t="shared" si="31"/>
        <v>679749042</v>
      </c>
      <c r="K39" s="1264">
        <f t="shared" si="3"/>
        <v>0.6821061696884517</v>
      </c>
      <c r="L39" s="298">
        <f aca="true" t="shared" si="32" ref="L39:Q39">SUM(L37:L38)</f>
        <v>684864675</v>
      </c>
      <c r="M39" s="298">
        <f t="shared" si="32"/>
        <v>685092075</v>
      </c>
      <c r="N39" s="298">
        <f t="shared" si="32"/>
        <v>685052075</v>
      </c>
      <c r="O39" s="298">
        <f t="shared" si="32"/>
        <v>804635383</v>
      </c>
      <c r="P39" s="298">
        <f t="shared" si="32"/>
        <v>899900798</v>
      </c>
      <c r="Q39" s="298">
        <f t="shared" si="32"/>
        <v>601453828</v>
      </c>
      <c r="R39" s="1264">
        <f t="shared" si="5"/>
        <v>0.6683557002468621</v>
      </c>
      <c r="S39" s="298">
        <f aca="true" t="shared" si="33" ref="S39:X39">SUM(S37:S38)</f>
        <v>98612635</v>
      </c>
      <c r="T39" s="298">
        <f t="shared" si="33"/>
        <v>98612635</v>
      </c>
      <c r="U39" s="298">
        <f t="shared" si="33"/>
        <v>98822635</v>
      </c>
      <c r="V39" s="298">
        <f t="shared" si="33"/>
        <v>100552635</v>
      </c>
      <c r="W39" s="298">
        <f t="shared" si="33"/>
        <v>96643541</v>
      </c>
      <c r="X39" s="298">
        <f t="shared" si="33"/>
        <v>78295214</v>
      </c>
      <c r="Y39" s="1264">
        <f t="shared" si="6"/>
        <v>0.8101443013144561</v>
      </c>
      <c r="Z39" s="298" t="e">
        <f>SUM(Z37:Z38)</f>
        <v>#REF!</v>
      </c>
    </row>
    <row r="40" spans="1:26" s="4" customFormat="1" ht="19.5" customHeight="1">
      <c r="A40" s="336"/>
      <c r="B40" s="423"/>
      <c r="C40" s="336"/>
      <c r="D40" s="336"/>
      <c r="E40" s="424"/>
      <c r="F40" s="424"/>
      <c r="G40" s="424"/>
      <c r="H40" s="424"/>
      <c r="I40" s="424"/>
      <c r="J40" s="424"/>
      <c r="K40" s="424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</row>
    <row r="41" spans="1:26" s="4" customFormat="1" ht="19.5" customHeight="1">
      <c r="A41" s="32"/>
      <c r="B41" s="35"/>
      <c r="C41" s="35"/>
      <c r="D41" s="18"/>
      <c r="E41" s="5"/>
      <c r="F41" s="5"/>
      <c r="G41" s="5"/>
      <c r="H41" s="5"/>
      <c r="I41" s="5"/>
      <c r="J41" s="5"/>
      <c r="K41" s="5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5:22" ht="15.75">
      <c r="E42" s="672"/>
      <c r="F42" s="672"/>
      <c r="G42" s="672"/>
      <c r="H42" s="672"/>
      <c r="I42" s="672"/>
      <c r="J42" s="672"/>
      <c r="K42" s="3"/>
      <c r="V42" s="3"/>
    </row>
    <row r="43" spans="5:11" ht="15.75">
      <c r="E43" s="671" t="str">
        <f>IF(L39+S39=E39," ","HIBA-nincs egyenlőség")</f>
        <v> </v>
      </c>
      <c r="F43" s="671" t="str">
        <f>IF(M39+T39=F39," ","HIBA-nincs egyenlőség")</f>
        <v> </v>
      </c>
      <c r="G43" s="671"/>
      <c r="H43" s="671"/>
      <c r="I43" s="671"/>
      <c r="J43" s="671"/>
      <c r="K43" s="671"/>
    </row>
    <row r="44" spans="2:20" ht="15.75"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5.75"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5.75"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5.75">
      <c r="B47" s="1"/>
      <c r="C47" s="1"/>
      <c r="D47" s="1"/>
      <c r="G47" s="3"/>
      <c r="L47" s="1"/>
      <c r="M47" s="1"/>
      <c r="N47" s="1"/>
      <c r="O47" s="1"/>
      <c r="P47" s="1"/>
      <c r="Q47" s="1"/>
      <c r="R47" s="1"/>
      <c r="S47" s="1"/>
      <c r="T47" s="1"/>
    </row>
    <row r="48" spans="2:20" ht="15.75"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5.75"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5.75"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</sheetData>
  <sheetProtection/>
  <mergeCells count="22">
    <mergeCell ref="A39:D39"/>
    <mergeCell ref="B30:D30"/>
    <mergeCell ref="A38:D38"/>
    <mergeCell ref="C33:D33"/>
    <mergeCell ref="C20:D20"/>
    <mergeCell ref="S4:Y4"/>
    <mergeCell ref="A4:D4"/>
    <mergeCell ref="C35:D35"/>
    <mergeCell ref="C34:D34"/>
    <mergeCell ref="C26:D26"/>
    <mergeCell ref="B31:D31"/>
    <mergeCell ref="C18:D18"/>
    <mergeCell ref="C19:D19"/>
    <mergeCell ref="A2:Y2"/>
    <mergeCell ref="E1:Y1"/>
    <mergeCell ref="S3:Y3"/>
    <mergeCell ref="B37:D37"/>
    <mergeCell ref="B32:D32"/>
    <mergeCell ref="B6:D6"/>
    <mergeCell ref="B17:D17"/>
    <mergeCell ref="B25:D25"/>
    <mergeCell ref="C27:D2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view="pageBreakPreview" zoomScale="60" zoomScaleNormal="110" zoomScalePageLayoutView="0" workbookViewId="0" topLeftCell="A1">
      <selection activeCell="C1" sqref="C1:AD1"/>
    </sheetView>
  </sheetViews>
  <sheetFormatPr defaultColWidth="9.140625" defaultRowHeight="12.75"/>
  <cols>
    <col min="1" max="1" width="4.28125" style="1507" customWidth="1"/>
    <col min="2" max="2" width="4.7109375" style="1324" customWidth="1"/>
    <col min="3" max="3" width="45.421875" style="1324" customWidth="1"/>
    <col min="4" max="4" width="11.140625" style="1324" customWidth="1"/>
    <col min="5" max="5" width="10.57421875" style="1324" hidden="1" customWidth="1"/>
    <col min="6" max="6" width="10.421875" style="1324" hidden="1" customWidth="1"/>
    <col min="7" max="7" width="11.7109375" style="1324" hidden="1" customWidth="1"/>
    <col min="8" max="8" width="12.421875" style="1324" customWidth="1"/>
    <col min="9" max="9" width="10.140625" style="1324" customWidth="1"/>
    <col min="10" max="10" width="9.8515625" style="1324" customWidth="1"/>
    <col min="11" max="11" width="8.28125" style="1324" hidden="1" customWidth="1"/>
    <col min="12" max="12" width="12.8515625" style="1324" customWidth="1"/>
    <col min="13" max="13" width="11.00390625" style="1324" hidden="1" customWidth="1"/>
    <col min="14" max="14" width="12.57421875" style="1324" hidden="1" customWidth="1"/>
    <col min="15" max="15" width="10.140625" style="1324" hidden="1" customWidth="1"/>
    <col min="16" max="17" width="10.28125" style="1324" customWidth="1"/>
    <col min="18" max="18" width="14.00390625" style="1324" bestFit="1" customWidth="1"/>
    <col min="19" max="19" width="9.8515625" style="1324" customWidth="1"/>
    <col min="20" max="22" width="9.8515625" style="1324" hidden="1" customWidth="1"/>
    <col min="23" max="25" width="9.8515625" style="1324" customWidth="1"/>
    <col min="26" max="26" width="13.140625" style="1324" customWidth="1"/>
    <col min="27" max="27" width="9.140625" style="1324" hidden="1" customWidth="1"/>
    <col min="28" max="28" width="9.421875" style="1324" hidden="1" customWidth="1"/>
    <col min="29" max="29" width="10.00390625" style="1324" hidden="1" customWidth="1"/>
    <col min="30" max="30" width="10.8515625" style="1324" customWidth="1"/>
    <col min="31" max="31" width="10.00390625" style="1324" customWidth="1"/>
    <col min="32" max="32" width="9.140625" style="1324" customWidth="1"/>
    <col min="33" max="34" width="9.140625" style="1324" hidden="1" customWidth="1"/>
    <col min="35" max="35" width="11.421875" style="1324" bestFit="1" customWidth="1"/>
    <col min="36" max="36" width="12.421875" style="1324" bestFit="1" customWidth="1"/>
    <col min="37" max="37" width="11.421875" style="1324" bestFit="1" customWidth="1"/>
    <col min="38" max="16384" width="9.140625" style="1324" customWidth="1"/>
  </cols>
  <sheetData>
    <row r="1" spans="1:30" s="1313" customFormat="1" ht="21" customHeight="1">
      <c r="A1" s="1312"/>
      <c r="C1" s="1600" t="s">
        <v>590</v>
      </c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</row>
    <row r="2" spans="1:11" s="1313" customFormat="1" ht="21" customHeight="1">
      <c r="A2" s="1312"/>
      <c r="C2" s="1314"/>
      <c r="D2" s="1315"/>
      <c r="E2" s="1315"/>
      <c r="F2" s="1315"/>
      <c r="G2" s="1315"/>
      <c r="H2" s="1315"/>
      <c r="I2" s="1315"/>
      <c r="J2" s="1315"/>
      <c r="K2" s="1315"/>
    </row>
    <row r="3" spans="1:26" s="1316" customFormat="1" ht="25.5" customHeight="1">
      <c r="A3" s="1602" t="s">
        <v>218</v>
      </c>
      <c r="B3" s="1602"/>
      <c r="C3" s="1602"/>
      <c r="D3" s="1602"/>
      <c r="E3" s="1602"/>
      <c r="F3" s="1602"/>
      <c r="G3" s="1602"/>
      <c r="H3" s="1602"/>
      <c r="I3" s="1602"/>
      <c r="J3" s="1602"/>
      <c r="K3" s="1602"/>
      <c r="L3" s="1602"/>
      <c r="M3" s="1602"/>
      <c r="N3" s="1602"/>
      <c r="O3" s="1602"/>
      <c r="P3" s="1602"/>
      <c r="Q3" s="1602"/>
      <c r="R3" s="1602"/>
      <c r="S3" s="1602"/>
      <c r="T3" s="1602"/>
      <c r="U3" s="1602"/>
      <c r="V3" s="1602"/>
      <c r="W3" s="1602"/>
      <c r="X3" s="1602"/>
      <c r="Y3" s="1602"/>
      <c r="Z3" s="1602"/>
    </row>
    <row r="4" spans="1:26" s="1318" customFormat="1" ht="15.75" customHeight="1" thickBot="1">
      <c r="A4" s="1317"/>
      <c r="B4" s="1317"/>
      <c r="C4" s="1317"/>
      <c r="Z4" s="1319" t="s">
        <v>432</v>
      </c>
    </row>
    <row r="5" spans="1:34" ht="36.75" customHeight="1" thickBot="1">
      <c r="A5" s="1598" t="s">
        <v>106</v>
      </c>
      <c r="B5" s="1601"/>
      <c r="C5" s="1322" t="s">
        <v>107</v>
      </c>
      <c r="D5" s="1604" t="s">
        <v>4</v>
      </c>
      <c r="E5" s="1599"/>
      <c r="F5" s="1599"/>
      <c r="G5" s="1599"/>
      <c r="H5" s="1599"/>
      <c r="I5" s="1599"/>
      <c r="J5" s="1599"/>
      <c r="K5" s="1599"/>
      <c r="L5" s="1605" t="s">
        <v>104</v>
      </c>
      <c r="M5" s="1606"/>
      <c r="N5" s="1606"/>
      <c r="O5" s="1606"/>
      <c r="P5" s="1606"/>
      <c r="Q5" s="1604"/>
      <c r="R5" s="1604"/>
      <c r="S5" s="1598" t="s">
        <v>360</v>
      </c>
      <c r="T5" s="1599"/>
      <c r="U5" s="1599"/>
      <c r="V5" s="1599"/>
      <c r="W5" s="1599"/>
      <c r="X5" s="1599"/>
      <c r="Y5" s="1601"/>
      <c r="Z5" s="1598" t="s">
        <v>152</v>
      </c>
      <c r="AA5" s="1599"/>
      <c r="AB5" s="1599"/>
      <c r="AC5" s="1599"/>
      <c r="AD5" s="1599"/>
      <c r="AE5" s="1599"/>
      <c r="AF5" s="1601"/>
      <c r="AG5" s="1598"/>
      <c r="AH5" s="1599"/>
    </row>
    <row r="6" spans="1:34" ht="13.5" thickBot="1">
      <c r="A6" s="1320"/>
      <c r="B6" s="1321"/>
      <c r="C6" s="1322"/>
      <c r="D6" s="1322" t="s">
        <v>227</v>
      </c>
      <c r="E6" s="1322" t="s">
        <v>225</v>
      </c>
      <c r="F6" s="1322" t="s">
        <v>228</v>
      </c>
      <c r="G6" s="1322" t="s">
        <v>230</v>
      </c>
      <c r="H6" s="1322" t="s">
        <v>242</v>
      </c>
      <c r="I6" s="1322" t="s">
        <v>233</v>
      </c>
      <c r="J6" s="1322" t="s">
        <v>344</v>
      </c>
      <c r="K6" s="1325" t="s">
        <v>247</v>
      </c>
      <c r="L6" s="1326" t="s">
        <v>227</v>
      </c>
      <c r="M6" s="1322" t="s">
        <v>225</v>
      </c>
      <c r="N6" s="1322" t="s">
        <v>228</v>
      </c>
      <c r="O6" s="1322" t="s">
        <v>230</v>
      </c>
      <c r="P6" s="1322" t="s">
        <v>242</v>
      </c>
      <c r="Q6" s="1322" t="s">
        <v>233</v>
      </c>
      <c r="R6" s="1327" t="s">
        <v>344</v>
      </c>
      <c r="S6" s="1322" t="s">
        <v>227</v>
      </c>
      <c r="T6" s="1322" t="s">
        <v>225</v>
      </c>
      <c r="U6" s="1322" t="s">
        <v>228</v>
      </c>
      <c r="V6" s="1322" t="s">
        <v>230</v>
      </c>
      <c r="W6" s="1322" t="s">
        <v>242</v>
      </c>
      <c r="X6" s="1322" t="s">
        <v>233</v>
      </c>
      <c r="Y6" s="1322" t="s">
        <v>344</v>
      </c>
      <c r="Z6" s="1322" t="s">
        <v>227</v>
      </c>
      <c r="AA6" s="1322" t="s">
        <v>225</v>
      </c>
      <c r="AB6" s="1322" t="s">
        <v>228</v>
      </c>
      <c r="AC6" s="1322" t="s">
        <v>230</v>
      </c>
      <c r="AD6" s="1322" t="s">
        <v>242</v>
      </c>
      <c r="AE6" s="1322" t="s">
        <v>233</v>
      </c>
      <c r="AF6" s="1322" t="s">
        <v>344</v>
      </c>
      <c r="AG6" s="1325" t="s">
        <v>234</v>
      </c>
      <c r="AH6" s="1322" t="s">
        <v>344</v>
      </c>
    </row>
    <row r="7" spans="1:34" s="1333" customFormat="1" ht="12.75" customHeight="1" thickBot="1">
      <c r="A7" s="1328">
        <v>1</v>
      </c>
      <c r="B7" s="1329">
        <v>2</v>
      </c>
      <c r="C7" s="1329">
        <v>3</v>
      </c>
      <c r="D7" s="1329">
        <v>4</v>
      </c>
      <c r="E7" s="1329">
        <v>5</v>
      </c>
      <c r="F7" s="1329">
        <v>6</v>
      </c>
      <c r="G7" s="1329">
        <v>7</v>
      </c>
      <c r="H7" s="1329">
        <v>5</v>
      </c>
      <c r="I7" s="1329">
        <v>6</v>
      </c>
      <c r="J7" s="1329">
        <v>7</v>
      </c>
      <c r="K7" s="1330">
        <v>8</v>
      </c>
      <c r="L7" s="1328">
        <v>9</v>
      </c>
      <c r="M7" s="1329">
        <v>9</v>
      </c>
      <c r="N7" s="1329">
        <v>10</v>
      </c>
      <c r="O7" s="1329">
        <v>11</v>
      </c>
      <c r="P7" s="1329">
        <v>10</v>
      </c>
      <c r="Q7" s="1331">
        <v>11</v>
      </c>
      <c r="R7" s="1331">
        <v>12</v>
      </c>
      <c r="S7" s="1329">
        <v>13</v>
      </c>
      <c r="T7" s="1332">
        <v>14</v>
      </c>
      <c r="U7" s="1332">
        <v>14</v>
      </c>
      <c r="V7" s="1332">
        <v>14</v>
      </c>
      <c r="W7" s="1332">
        <v>14</v>
      </c>
      <c r="X7" s="1332">
        <v>15</v>
      </c>
      <c r="Y7" s="1332">
        <v>16</v>
      </c>
      <c r="Z7" s="1332">
        <v>17</v>
      </c>
      <c r="AA7" s="1329">
        <v>17</v>
      </c>
      <c r="AB7" s="1329">
        <v>18</v>
      </c>
      <c r="AC7" s="1329">
        <v>17</v>
      </c>
      <c r="AD7" s="1329">
        <v>18</v>
      </c>
      <c r="AE7" s="1329">
        <v>19</v>
      </c>
      <c r="AF7" s="1329">
        <v>20</v>
      </c>
      <c r="AG7" s="1330"/>
      <c r="AH7" s="1329"/>
    </row>
    <row r="8" spans="1:34" s="1333" customFormat="1" ht="15.75" customHeight="1" thickBot="1">
      <c r="A8" s="1334"/>
      <c r="B8" s="1335"/>
      <c r="C8" s="1335" t="s">
        <v>108</v>
      </c>
      <c r="D8" s="1336"/>
      <c r="E8" s="1336"/>
      <c r="F8" s="1337"/>
      <c r="G8" s="1337"/>
      <c r="H8" s="1337"/>
      <c r="I8" s="1337"/>
      <c r="J8" s="1338"/>
      <c r="K8" s="1339"/>
      <c r="L8" s="1340"/>
      <c r="M8" s="1336"/>
      <c r="N8" s="1337"/>
      <c r="O8" s="1337"/>
      <c r="P8" s="1337"/>
      <c r="Q8" s="1337"/>
      <c r="R8" s="1338"/>
      <c r="S8" s="1337"/>
      <c r="T8" s="1336"/>
      <c r="U8" s="1336"/>
      <c r="V8" s="1336"/>
      <c r="W8" s="1336"/>
      <c r="X8" s="1336"/>
      <c r="Y8" s="1336"/>
      <c r="Z8" s="1336"/>
      <c r="AA8" s="1340"/>
      <c r="AB8" s="1340"/>
      <c r="AC8" s="1337"/>
      <c r="AD8" s="1337"/>
      <c r="AE8" s="1337"/>
      <c r="AF8" s="1336"/>
      <c r="AG8" s="1339"/>
      <c r="AH8" s="1337"/>
    </row>
    <row r="9" spans="1:34" s="1348" customFormat="1" ht="12" customHeight="1" thickBot="1">
      <c r="A9" s="1328" t="s">
        <v>26</v>
      </c>
      <c r="B9" s="1341"/>
      <c r="C9" s="1342" t="s">
        <v>333</v>
      </c>
      <c r="D9" s="1343">
        <f aca="true" t="shared" si="0" ref="D9:I9">SUM(D10:D13)</f>
        <v>50100</v>
      </c>
      <c r="E9" s="1343">
        <f t="shared" si="0"/>
        <v>50100</v>
      </c>
      <c r="F9" s="1343">
        <f t="shared" si="0"/>
        <v>50100</v>
      </c>
      <c r="G9" s="1343">
        <f t="shared" si="0"/>
        <v>50100</v>
      </c>
      <c r="H9" s="1343">
        <f t="shared" si="0"/>
        <v>430027</v>
      </c>
      <c r="I9" s="1343">
        <f t="shared" si="0"/>
        <v>429943</v>
      </c>
      <c r="J9" s="1344">
        <f aca="true" t="shared" si="1" ref="J9:J24">I9/H9</f>
        <v>0.9998046634281104</v>
      </c>
      <c r="K9" s="1343">
        <f aca="true" t="shared" si="2" ref="K9:P9">SUM(K10:K13)</f>
        <v>0</v>
      </c>
      <c r="L9" s="1343">
        <f t="shared" si="2"/>
        <v>50100</v>
      </c>
      <c r="M9" s="1343">
        <f>SUM(M10:M13)</f>
        <v>50100</v>
      </c>
      <c r="N9" s="1343">
        <f>SUM(N10:N13)</f>
        <v>50100</v>
      </c>
      <c r="O9" s="1343">
        <f>SUM(O10:O13)</f>
        <v>50100</v>
      </c>
      <c r="P9" s="1343">
        <f t="shared" si="2"/>
        <v>430027</v>
      </c>
      <c r="Q9" s="1343">
        <f>SUM(Q10:Q13)</f>
        <v>429943</v>
      </c>
      <c r="R9" s="1344">
        <f>Q9/P9</f>
        <v>0.9998046634281104</v>
      </c>
      <c r="S9" s="1343"/>
      <c r="T9" s="1345"/>
      <c r="U9" s="1345"/>
      <c r="V9" s="1345"/>
      <c r="W9" s="1345"/>
      <c r="X9" s="1345"/>
      <c r="Y9" s="1345"/>
      <c r="Z9" s="1345"/>
      <c r="AA9" s="1346"/>
      <c r="AB9" s="1346"/>
      <c r="AC9" s="1343"/>
      <c r="AD9" s="1343"/>
      <c r="AE9" s="1343"/>
      <c r="AF9" s="1345"/>
      <c r="AG9" s="1347"/>
      <c r="AH9" s="1343"/>
    </row>
    <row r="10" spans="1:34" s="1348" customFormat="1" ht="12" customHeight="1">
      <c r="A10" s="1349"/>
      <c r="B10" s="1350" t="s">
        <v>35</v>
      </c>
      <c r="C10" s="1351" t="s">
        <v>450</v>
      </c>
      <c r="D10" s="1352"/>
      <c r="E10" s="1352"/>
      <c r="F10" s="1352"/>
      <c r="G10" s="1352"/>
      <c r="H10" s="1352"/>
      <c r="I10" s="1352"/>
      <c r="J10" s="1353"/>
      <c r="K10" s="1354"/>
      <c r="L10" s="1355"/>
      <c r="M10" s="1355"/>
      <c r="N10" s="1355"/>
      <c r="O10" s="1355"/>
      <c r="P10" s="1355"/>
      <c r="Q10" s="1352"/>
      <c r="R10" s="1353"/>
      <c r="S10" s="1352"/>
      <c r="T10" s="1356"/>
      <c r="U10" s="1356"/>
      <c r="V10" s="1356"/>
      <c r="W10" s="1356"/>
      <c r="X10" s="1356"/>
      <c r="Y10" s="1356"/>
      <c r="Z10" s="1356"/>
      <c r="AA10" s="1355"/>
      <c r="AB10" s="1355"/>
      <c r="AC10" s="1352"/>
      <c r="AD10" s="1352"/>
      <c r="AE10" s="1352"/>
      <c r="AF10" s="1356"/>
      <c r="AG10" s="1357"/>
      <c r="AH10" s="1358"/>
    </row>
    <row r="11" spans="1:34" s="1348" customFormat="1" ht="12" customHeight="1">
      <c r="A11" s="1359"/>
      <c r="B11" s="1360" t="s">
        <v>36</v>
      </c>
      <c r="C11" s="1361" t="s">
        <v>469</v>
      </c>
      <c r="D11" s="1362"/>
      <c r="E11" s="1362"/>
      <c r="F11" s="1362"/>
      <c r="G11" s="1362"/>
      <c r="H11" s="1362">
        <v>95860</v>
      </c>
      <c r="I11" s="1362">
        <v>95860</v>
      </c>
      <c r="J11" s="1363">
        <f t="shared" si="1"/>
        <v>1</v>
      </c>
      <c r="K11" s="1364"/>
      <c r="L11" s="1365"/>
      <c r="M11" s="1365"/>
      <c r="N11" s="1365"/>
      <c r="O11" s="1365"/>
      <c r="P11" s="1366">
        <f aca="true" t="shared" si="3" ref="L11:P13">+H11-W11</f>
        <v>95860</v>
      </c>
      <c r="Q11" s="1362">
        <v>95860</v>
      </c>
      <c r="R11" s="1363">
        <f aca="true" t="shared" si="4" ref="R11:R16">Q11/P11</f>
        <v>1</v>
      </c>
      <c r="S11" s="1362"/>
      <c r="T11" s="1367"/>
      <c r="U11" s="1367"/>
      <c r="V11" s="1367"/>
      <c r="W11" s="1367"/>
      <c r="X11" s="1367"/>
      <c r="Y11" s="1367"/>
      <c r="Z11" s="1367"/>
      <c r="AA11" s="1368"/>
      <c r="AB11" s="1368"/>
      <c r="AC11" s="1362"/>
      <c r="AD11" s="1362"/>
      <c r="AE11" s="1362"/>
      <c r="AF11" s="1367"/>
      <c r="AG11" s="1357"/>
      <c r="AH11" s="1358"/>
    </row>
    <row r="12" spans="1:34" s="1348" customFormat="1" ht="12" customHeight="1">
      <c r="A12" s="1369"/>
      <c r="B12" s="1360" t="s">
        <v>37</v>
      </c>
      <c r="C12" s="1370" t="s">
        <v>307</v>
      </c>
      <c r="D12" s="1371">
        <v>100</v>
      </c>
      <c r="E12" s="1371">
        <v>100</v>
      </c>
      <c r="F12" s="1371">
        <v>100</v>
      </c>
      <c r="G12" s="1371">
        <v>100</v>
      </c>
      <c r="H12" s="1371">
        <v>100</v>
      </c>
      <c r="I12" s="1371">
        <v>16</v>
      </c>
      <c r="J12" s="1372">
        <f t="shared" si="1"/>
        <v>0.16</v>
      </c>
      <c r="K12" s="1373"/>
      <c r="L12" s="1366">
        <f t="shared" si="3"/>
        <v>100</v>
      </c>
      <c r="M12" s="1366">
        <f t="shared" si="3"/>
        <v>100</v>
      </c>
      <c r="N12" s="1366">
        <f t="shared" si="3"/>
        <v>100</v>
      </c>
      <c r="O12" s="1366">
        <f t="shared" si="3"/>
        <v>100</v>
      </c>
      <c r="P12" s="1366">
        <f t="shared" si="3"/>
        <v>100</v>
      </c>
      <c r="Q12" s="1371">
        <v>16</v>
      </c>
      <c r="R12" s="1372">
        <f t="shared" si="4"/>
        <v>0.16</v>
      </c>
      <c r="S12" s="1374"/>
      <c r="T12" s="1375"/>
      <c r="U12" s="1375"/>
      <c r="V12" s="1375"/>
      <c r="W12" s="1375"/>
      <c r="X12" s="1375"/>
      <c r="Y12" s="1375"/>
      <c r="Z12" s="1376"/>
      <c r="AA12" s="1377"/>
      <c r="AB12" s="1377"/>
      <c r="AC12" s="1371"/>
      <c r="AD12" s="1371"/>
      <c r="AE12" s="1371"/>
      <c r="AF12" s="1375"/>
      <c r="AG12" s="1357"/>
      <c r="AH12" s="1358"/>
    </row>
    <row r="13" spans="1:34" s="1348" customFormat="1" ht="12" customHeight="1" thickBot="1">
      <c r="A13" s="1378"/>
      <c r="B13" s="1360" t="s">
        <v>48</v>
      </c>
      <c r="C13" s="1379" t="s">
        <v>451</v>
      </c>
      <c r="D13" s="1380">
        <v>50000</v>
      </c>
      <c r="E13" s="1380">
        <v>50000</v>
      </c>
      <c r="F13" s="1380">
        <v>50000</v>
      </c>
      <c r="G13" s="1380">
        <v>50000</v>
      </c>
      <c r="H13" s="1380">
        <v>334067</v>
      </c>
      <c r="I13" s="1380">
        <v>334067</v>
      </c>
      <c r="J13" s="1381">
        <f t="shared" si="1"/>
        <v>1</v>
      </c>
      <c r="K13" s="1382"/>
      <c r="L13" s="1366">
        <f t="shared" si="3"/>
        <v>50000</v>
      </c>
      <c r="M13" s="1366">
        <f t="shared" si="3"/>
        <v>50000</v>
      </c>
      <c r="N13" s="1366">
        <f t="shared" si="3"/>
        <v>50000</v>
      </c>
      <c r="O13" s="1366">
        <f t="shared" si="3"/>
        <v>50000</v>
      </c>
      <c r="P13" s="1366">
        <f t="shared" si="3"/>
        <v>334067</v>
      </c>
      <c r="Q13" s="1380">
        <v>334067</v>
      </c>
      <c r="R13" s="1381">
        <f t="shared" si="4"/>
        <v>1</v>
      </c>
      <c r="S13" s="1383"/>
      <c r="T13" s="1384"/>
      <c r="U13" s="1384"/>
      <c r="V13" s="1384"/>
      <c r="W13" s="1384"/>
      <c r="X13" s="1384"/>
      <c r="Y13" s="1384"/>
      <c r="Z13" s="1385"/>
      <c r="AA13" s="1386"/>
      <c r="AB13" s="1386"/>
      <c r="AC13" s="1380"/>
      <c r="AD13" s="1380"/>
      <c r="AE13" s="1380"/>
      <c r="AF13" s="1384"/>
      <c r="AG13" s="1357"/>
      <c r="AH13" s="1358"/>
    </row>
    <row r="14" spans="1:34" s="1394" customFormat="1" ht="12" customHeight="1" hidden="1" thickBot="1">
      <c r="A14" s="1387" t="s">
        <v>27</v>
      </c>
      <c r="B14" s="1360"/>
      <c r="C14" s="1388" t="s">
        <v>114</v>
      </c>
      <c r="D14" s="1389"/>
      <c r="E14" s="1389"/>
      <c r="F14" s="1389"/>
      <c r="G14" s="1389"/>
      <c r="H14" s="1389"/>
      <c r="I14" s="1389"/>
      <c r="J14" s="1390" t="e">
        <f t="shared" si="1"/>
        <v>#DIV/0!</v>
      </c>
      <c r="K14" s="1391"/>
      <c r="L14" s="1392"/>
      <c r="M14" s="1392"/>
      <c r="N14" s="1392"/>
      <c r="O14" s="1392"/>
      <c r="P14" s="1392"/>
      <c r="Q14" s="1389"/>
      <c r="R14" s="1390" t="e">
        <f t="shared" si="4"/>
        <v>#DIV/0!</v>
      </c>
      <c r="S14" s="1389"/>
      <c r="T14" s="1393"/>
      <c r="U14" s="1393"/>
      <c r="V14" s="1393"/>
      <c r="W14" s="1393"/>
      <c r="X14" s="1393"/>
      <c r="Y14" s="1393"/>
      <c r="Z14" s="1393"/>
      <c r="AA14" s="1392"/>
      <c r="AB14" s="1392"/>
      <c r="AC14" s="1389"/>
      <c r="AD14" s="1389"/>
      <c r="AE14" s="1389"/>
      <c r="AF14" s="1393"/>
      <c r="AG14" s="1391"/>
      <c r="AH14" s="1389"/>
    </row>
    <row r="15" spans="1:34" s="1348" customFormat="1" ht="12" customHeight="1" thickBot="1">
      <c r="A15" s="1328" t="s">
        <v>27</v>
      </c>
      <c r="B15" s="1341"/>
      <c r="C15" s="1342" t="s">
        <v>115</v>
      </c>
      <c r="D15" s="1343">
        <f aca="true" t="shared" si="5" ref="D15:I15">SUM(D16:D19)</f>
        <v>0</v>
      </c>
      <c r="E15" s="1343">
        <f t="shared" si="5"/>
        <v>0</v>
      </c>
      <c r="F15" s="1343">
        <f t="shared" si="5"/>
        <v>2982412</v>
      </c>
      <c r="G15" s="1343">
        <f t="shared" si="5"/>
        <v>3011468</v>
      </c>
      <c r="H15" s="1343">
        <f t="shared" si="5"/>
        <v>7349370</v>
      </c>
      <c r="I15" s="1343">
        <f t="shared" si="5"/>
        <v>7349370</v>
      </c>
      <c r="J15" s="1344">
        <f t="shared" si="1"/>
        <v>1</v>
      </c>
      <c r="K15" s="1347">
        <f aca="true" t="shared" si="6" ref="K15:Q15">SUM(K16:K19)</f>
        <v>0</v>
      </c>
      <c r="L15" s="1343">
        <f t="shared" si="6"/>
        <v>0</v>
      </c>
      <c r="M15" s="1343">
        <f t="shared" si="6"/>
        <v>0</v>
      </c>
      <c r="N15" s="1343">
        <f t="shared" si="6"/>
        <v>2982412</v>
      </c>
      <c r="O15" s="1343">
        <f t="shared" si="6"/>
        <v>3011468</v>
      </c>
      <c r="P15" s="1343">
        <f t="shared" si="6"/>
        <v>7349370</v>
      </c>
      <c r="Q15" s="1343">
        <f t="shared" si="6"/>
        <v>7349370</v>
      </c>
      <c r="R15" s="1344">
        <f t="shared" si="4"/>
        <v>1</v>
      </c>
      <c r="S15" s="1343"/>
      <c r="T15" s="1345"/>
      <c r="U15" s="1345"/>
      <c r="V15" s="1345"/>
      <c r="W15" s="1345"/>
      <c r="X15" s="1345"/>
      <c r="Y15" s="1345"/>
      <c r="Z15" s="1345"/>
      <c r="AA15" s="1346"/>
      <c r="AB15" s="1346"/>
      <c r="AC15" s="1343"/>
      <c r="AD15" s="1343"/>
      <c r="AE15" s="1343"/>
      <c r="AF15" s="1345"/>
      <c r="AG15" s="1347"/>
      <c r="AH15" s="1343"/>
    </row>
    <row r="16" spans="1:34" s="1394" customFormat="1" ht="12" customHeight="1">
      <c r="A16" s="1369"/>
      <c r="B16" s="1360" t="s">
        <v>38</v>
      </c>
      <c r="C16" s="1395" t="s">
        <v>71</v>
      </c>
      <c r="D16" s="1396"/>
      <c r="E16" s="1396"/>
      <c r="F16" s="1396">
        <v>2982412</v>
      </c>
      <c r="G16" s="1396">
        <v>3011468</v>
      </c>
      <c r="H16" s="1396">
        <v>7349370</v>
      </c>
      <c r="I16" s="1396">
        <v>7349370</v>
      </c>
      <c r="J16" s="1397">
        <f t="shared" si="1"/>
        <v>1</v>
      </c>
      <c r="K16" s="1398"/>
      <c r="L16" s="1396"/>
      <c r="M16" s="1396"/>
      <c r="N16" s="1396">
        <v>2982412</v>
      </c>
      <c r="O16" s="1396">
        <f>+G16</f>
        <v>3011468</v>
      </c>
      <c r="P16" s="1396">
        <f>+H16</f>
        <v>7349370</v>
      </c>
      <c r="Q16" s="1396">
        <v>7349370</v>
      </c>
      <c r="R16" s="1397">
        <f t="shared" si="4"/>
        <v>1</v>
      </c>
      <c r="S16" s="1396"/>
      <c r="T16" s="1399"/>
      <c r="U16" s="1399"/>
      <c r="V16" s="1399"/>
      <c r="W16" s="1399"/>
      <c r="X16" s="1399"/>
      <c r="Y16" s="1399"/>
      <c r="Z16" s="1399"/>
      <c r="AA16" s="1400"/>
      <c r="AB16" s="1400"/>
      <c r="AC16" s="1396"/>
      <c r="AD16" s="1396"/>
      <c r="AE16" s="1396"/>
      <c r="AF16" s="1399"/>
      <c r="AG16" s="1398"/>
      <c r="AH16" s="1396"/>
    </row>
    <row r="17" spans="1:34" s="1394" customFormat="1" ht="12" customHeight="1">
      <c r="A17" s="1369"/>
      <c r="B17" s="1360" t="s">
        <v>39</v>
      </c>
      <c r="C17" s="1401" t="s">
        <v>118</v>
      </c>
      <c r="D17" s="1396"/>
      <c r="E17" s="1396"/>
      <c r="F17" s="1396"/>
      <c r="G17" s="1396"/>
      <c r="H17" s="1396"/>
      <c r="I17" s="1396"/>
      <c r="J17" s="1397"/>
      <c r="K17" s="1398"/>
      <c r="L17" s="1396"/>
      <c r="M17" s="1396"/>
      <c r="N17" s="1396"/>
      <c r="O17" s="1396"/>
      <c r="P17" s="1396"/>
      <c r="Q17" s="1396"/>
      <c r="R17" s="1397"/>
      <c r="S17" s="1396"/>
      <c r="T17" s="1399"/>
      <c r="U17" s="1399"/>
      <c r="V17" s="1399"/>
      <c r="W17" s="1399"/>
      <c r="X17" s="1399"/>
      <c r="Y17" s="1399"/>
      <c r="Z17" s="1399"/>
      <c r="AA17" s="1400"/>
      <c r="AB17" s="1400"/>
      <c r="AC17" s="1396"/>
      <c r="AD17" s="1396"/>
      <c r="AE17" s="1396"/>
      <c r="AF17" s="1399"/>
      <c r="AG17" s="1398"/>
      <c r="AH17" s="1396"/>
    </row>
    <row r="18" spans="1:34" s="1394" customFormat="1" ht="12" customHeight="1">
      <c r="A18" s="1369"/>
      <c r="B18" s="1360" t="s">
        <v>40</v>
      </c>
      <c r="C18" s="1401" t="s">
        <v>72</v>
      </c>
      <c r="D18" s="1396"/>
      <c r="E18" s="1396"/>
      <c r="F18" s="1396"/>
      <c r="G18" s="1396"/>
      <c r="H18" s="1396"/>
      <c r="I18" s="1396"/>
      <c r="J18" s="1397"/>
      <c r="K18" s="1398"/>
      <c r="L18" s="1396"/>
      <c r="M18" s="1396"/>
      <c r="N18" s="1396"/>
      <c r="O18" s="1396"/>
      <c r="P18" s="1396"/>
      <c r="Q18" s="1396"/>
      <c r="R18" s="1397"/>
      <c r="S18" s="1396"/>
      <c r="T18" s="1399"/>
      <c r="U18" s="1399"/>
      <c r="V18" s="1399"/>
      <c r="W18" s="1399"/>
      <c r="X18" s="1399"/>
      <c r="Y18" s="1399"/>
      <c r="Z18" s="1399"/>
      <c r="AA18" s="1400"/>
      <c r="AB18" s="1400"/>
      <c r="AC18" s="1396"/>
      <c r="AD18" s="1396"/>
      <c r="AE18" s="1396"/>
      <c r="AF18" s="1399"/>
      <c r="AG18" s="1398"/>
      <c r="AH18" s="1396"/>
    </row>
    <row r="19" spans="1:34" s="1394" customFormat="1" ht="12" customHeight="1" thickBot="1">
      <c r="A19" s="1369"/>
      <c r="B19" s="1360" t="s">
        <v>269</v>
      </c>
      <c r="C19" s="1401" t="s">
        <v>118</v>
      </c>
      <c r="D19" s="1396"/>
      <c r="E19" s="1396"/>
      <c r="F19" s="1396"/>
      <c r="G19" s="1396"/>
      <c r="H19" s="1396"/>
      <c r="I19" s="1396"/>
      <c r="J19" s="1397"/>
      <c r="K19" s="1398"/>
      <c r="L19" s="1396"/>
      <c r="M19" s="1396"/>
      <c r="N19" s="1396"/>
      <c r="O19" s="1396"/>
      <c r="P19" s="1396"/>
      <c r="Q19" s="1396"/>
      <c r="R19" s="1397"/>
      <c r="S19" s="1396"/>
      <c r="T19" s="1399"/>
      <c r="U19" s="1399"/>
      <c r="V19" s="1399"/>
      <c r="W19" s="1399"/>
      <c r="X19" s="1399"/>
      <c r="Y19" s="1399"/>
      <c r="Z19" s="1399"/>
      <c r="AA19" s="1400"/>
      <c r="AB19" s="1400"/>
      <c r="AC19" s="1396"/>
      <c r="AD19" s="1396"/>
      <c r="AE19" s="1396"/>
      <c r="AF19" s="1399"/>
      <c r="AG19" s="1398"/>
      <c r="AH19" s="1396"/>
    </row>
    <row r="20" spans="1:34" s="1394" customFormat="1" ht="12" customHeight="1" thickBot="1">
      <c r="A20" s="1402" t="s">
        <v>9</v>
      </c>
      <c r="B20" s="1403"/>
      <c r="C20" s="1403" t="s">
        <v>121</v>
      </c>
      <c r="D20" s="1343">
        <f aca="true" t="shared" si="7" ref="D20:I20">SUM(D21:D22)</f>
        <v>0</v>
      </c>
      <c r="E20" s="1343">
        <f t="shared" si="7"/>
        <v>0</v>
      </c>
      <c r="F20" s="1343">
        <f t="shared" si="7"/>
        <v>0</v>
      </c>
      <c r="G20" s="1343">
        <f t="shared" si="7"/>
        <v>0</v>
      </c>
      <c r="H20" s="1343">
        <f t="shared" si="7"/>
        <v>0</v>
      </c>
      <c r="I20" s="1343">
        <f t="shared" si="7"/>
        <v>0</v>
      </c>
      <c r="J20" s="1344"/>
      <c r="K20" s="1347"/>
      <c r="L20" s="1343">
        <f aca="true" t="shared" si="8" ref="L20:Q20">SUM(L21:L22)</f>
        <v>0</v>
      </c>
      <c r="M20" s="1343">
        <f t="shared" si="8"/>
        <v>0</v>
      </c>
      <c r="N20" s="1343">
        <f t="shared" si="8"/>
        <v>0</v>
      </c>
      <c r="O20" s="1343">
        <f t="shared" si="8"/>
        <v>0</v>
      </c>
      <c r="P20" s="1343">
        <f t="shared" si="8"/>
        <v>0</v>
      </c>
      <c r="Q20" s="1343">
        <f t="shared" si="8"/>
        <v>0</v>
      </c>
      <c r="R20" s="1344"/>
      <c r="S20" s="1343"/>
      <c r="T20" s="1345"/>
      <c r="U20" s="1345"/>
      <c r="V20" s="1345"/>
      <c r="W20" s="1345"/>
      <c r="X20" s="1345"/>
      <c r="Y20" s="1345"/>
      <c r="Z20" s="1345"/>
      <c r="AA20" s="1346"/>
      <c r="AB20" s="1346"/>
      <c r="AC20" s="1343"/>
      <c r="AD20" s="1343"/>
      <c r="AE20" s="1343"/>
      <c r="AF20" s="1345"/>
      <c r="AG20" s="1347"/>
      <c r="AH20" s="1343"/>
    </row>
    <row r="21" spans="1:34" s="1348" customFormat="1" ht="12" customHeight="1">
      <c r="A21" s="1404"/>
      <c r="B21" s="1350" t="s">
        <v>41</v>
      </c>
      <c r="C21" s="1405" t="s">
        <v>123</v>
      </c>
      <c r="D21" s="1406"/>
      <c r="E21" s="1406"/>
      <c r="F21" s="1406"/>
      <c r="G21" s="1406"/>
      <c r="H21" s="1406"/>
      <c r="I21" s="1406"/>
      <c r="J21" s="1407"/>
      <c r="K21" s="1408"/>
      <c r="L21" s="1406"/>
      <c r="M21" s="1406"/>
      <c r="N21" s="1406"/>
      <c r="O21" s="1406"/>
      <c r="P21" s="1406"/>
      <c r="Q21" s="1406"/>
      <c r="R21" s="1407"/>
      <c r="S21" s="1406"/>
      <c r="T21" s="1409"/>
      <c r="U21" s="1409"/>
      <c r="V21" s="1409"/>
      <c r="W21" s="1409"/>
      <c r="X21" s="1409"/>
      <c r="Y21" s="1409"/>
      <c r="Z21" s="1409"/>
      <c r="AA21" s="1410"/>
      <c r="AB21" s="1410"/>
      <c r="AC21" s="1406"/>
      <c r="AD21" s="1406"/>
      <c r="AE21" s="1406"/>
      <c r="AF21" s="1409"/>
      <c r="AG21" s="1408"/>
      <c r="AH21" s="1406"/>
    </row>
    <row r="22" spans="1:34" s="1348" customFormat="1" ht="12" customHeight="1" thickBot="1">
      <c r="A22" s="1411"/>
      <c r="B22" s="1412" t="s">
        <v>42</v>
      </c>
      <c r="C22" s="1413" t="s">
        <v>125</v>
      </c>
      <c r="D22" s="1414"/>
      <c r="E22" s="1414"/>
      <c r="F22" s="1414"/>
      <c r="G22" s="1414"/>
      <c r="H22" s="1414"/>
      <c r="I22" s="1414"/>
      <c r="J22" s="1415"/>
      <c r="K22" s="1416"/>
      <c r="L22" s="1414"/>
      <c r="M22" s="1414"/>
      <c r="N22" s="1414"/>
      <c r="O22" s="1414"/>
      <c r="P22" s="1414"/>
      <c r="Q22" s="1414"/>
      <c r="R22" s="1415"/>
      <c r="S22" s="1414"/>
      <c r="T22" s="1417"/>
      <c r="U22" s="1417"/>
      <c r="V22" s="1417"/>
      <c r="W22" s="1417"/>
      <c r="X22" s="1417"/>
      <c r="Y22" s="1417"/>
      <c r="Z22" s="1417"/>
      <c r="AA22" s="1418"/>
      <c r="AB22" s="1418"/>
      <c r="AC22" s="1414"/>
      <c r="AD22" s="1414"/>
      <c r="AE22" s="1414"/>
      <c r="AF22" s="1417"/>
      <c r="AG22" s="1416"/>
      <c r="AH22" s="1414"/>
    </row>
    <row r="23" spans="1:34" s="1348" customFormat="1" ht="12" customHeight="1" hidden="1" thickBot="1">
      <c r="A23" s="1402" t="s">
        <v>10</v>
      </c>
      <c r="B23" s="1341"/>
      <c r="D23" s="1419"/>
      <c r="E23" s="1419"/>
      <c r="F23" s="1419"/>
      <c r="G23" s="1419"/>
      <c r="H23" s="1419"/>
      <c r="I23" s="1419"/>
      <c r="J23" s="1420" t="e">
        <f t="shared" si="1"/>
        <v>#DIV/0!</v>
      </c>
      <c r="K23" s="1421"/>
      <c r="L23" s="1419"/>
      <c r="M23" s="1419"/>
      <c r="N23" s="1419"/>
      <c r="O23" s="1419"/>
      <c r="P23" s="1419"/>
      <c r="Q23" s="1419"/>
      <c r="R23" s="1420" t="e">
        <f>Q23/P23</f>
        <v>#DIV/0!</v>
      </c>
      <c r="S23" s="1419"/>
      <c r="T23" s="1422"/>
      <c r="U23" s="1422"/>
      <c r="V23" s="1422"/>
      <c r="W23" s="1422"/>
      <c r="X23" s="1422"/>
      <c r="Y23" s="1422"/>
      <c r="Z23" s="1422"/>
      <c r="AA23" s="1423"/>
      <c r="AB23" s="1423"/>
      <c r="AC23" s="1419"/>
      <c r="AD23" s="1419"/>
      <c r="AE23" s="1419"/>
      <c r="AF23" s="1422"/>
      <c r="AG23" s="1421"/>
      <c r="AH23" s="1419"/>
    </row>
    <row r="24" spans="1:34" s="1348" customFormat="1" ht="12" customHeight="1" thickBot="1">
      <c r="A24" s="1328" t="s">
        <v>10</v>
      </c>
      <c r="B24" s="1424"/>
      <c r="C24" s="1403" t="s">
        <v>127</v>
      </c>
      <c r="D24" s="1345">
        <f aca="true" t="shared" si="9" ref="D24:M24">D9+D14+D15+D20+D23</f>
        <v>50100</v>
      </c>
      <c r="E24" s="1345">
        <f t="shared" si="9"/>
        <v>50100</v>
      </c>
      <c r="F24" s="1345">
        <f>F9+F14+F15+F20+F23</f>
        <v>3032512</v>
      </c>
      <c r="G24" s="1345">
        <f>G9+G14+G15+G20+G23</f>
        <v>3061568</v>
      </c>
      <c r="H24" s="1345">
        <f>H9+H14+H15+H20+H23</f>
        <v>7779397</v>
      </c>
      <c r="I24" s="1345">
        <f>I9+I14+I15+I20+I23</f>
        <v>7779313</v>
      </c>
      <c r="J24" s="1425">
        <f t="shared" si="1"/>
        <v>0.9999892022479377</v>
      </c>
      <c r="K24" s="1345">
        <f t="shared" si="9"/>
        <v>0</v>
      </c>
      <c r="L24" s="1345">
        <f t="shared" si="9"/>
        <v>50100</v>
      </c>
      <c r="M24" s="1345">
        <f t="shared" si="9"/>
        <v>50100</v>
      </c>
      <c r="N24" s="1345">
        <f>N9+N14+N15+N20+N23</f>
        <v>3032512</v>
      </c>
      <c r="O24" s="1345">
        <f>O9+O14+O15+O20+O23</f>
        <v>3061568</v>
      </c>
      <c r="P24" s="1345">
        <f>P9+P14+P15+P20+P23</f>
        <v>7779397</v>
      </c>
      <c r="Q24" s="1345">
        <f>Q9+Q14+Q15+Q20+Q23</f>
        <v>7779313</v>
      </c>
      <c r="R24" s="1425">
        <f>Q24/P24</f>
        <v>0.9999892022479377</v>
      </c>
      <c r="S24" s="1345"/>
      <c r="T24" s="1345"/>
      <c r="U24" s="1345"/>
      <c r="V24" s="1345"/>
      <c r="W24" s="1345"/>
      <c r="X24" s="1345"/>
      <c r="Y24" s="1345"/>
      <c r="Z24" s="1345"/>
      <c r="AA24" s="1346"/>
      <c r="AB24" s="1346"/>
      <c r="AC24" s="1343"/>
      <c r="AD24" s="1343"/>
      <c r="AE24" s="1343"/>
      <c r="AF24" s="1345"/>
      <c r="AG24" s="1347"/>
      <c r="AH24" s="1343"/>
    </row>
    <row r="25" spans="1:34" s="1394" customFormat="1" ht="12" customHeight="1" thickBot="1">
      <c r="A25" s="1426" t="s">
        <v>11</v>
      </c>
      <c r="B25" s="1348"/>
      <c r="C25" s="1427" t="s">
        <v>128</v>
      </c>
      <c r="D25" s="1428">
        <f aca="true" t="shared" si="10" ref="D25:I25">SUM(D26:D28)</f>
        <v>107851862</v>
      </c>
      <c r="E25" s="1428">
        <f t="shared" si="10"/>
        <v>107851862</v>
      </c>
      <c r="F25" s="1428">
        <f t="shared" si="10"/>
        <v>107851862</v>
      </c>
      <c r="G25" s="1428">
        <f t="shared" si="10"/>
        <v>107851862</v>
      </c>
      <c r="H25" s="1428">
        <f t="shared" si="10"/>
        <v>101923877</v>
      </c>
      <c r="I25" s="1428">
        <f t="shared" si="10"/>
        <v>101923877</v>
      </c>
      <c r="J25" s="1429">
        <f>I25/H25</f>
        <v>1</v>
      </c>
      <c r="K25" s="1430">
        <f aca="true" t="shared" si="11" ref="K25:V25">SUM(K26:K28)</f>
        <v>0</v>
      </c>
      <c r="L25" s="1428">
        <f t="shared" si="11"/>
        <v>99195962</v>
      </c>
      <c r="M25" s="1428">
        <f t="shared" si="11"/>
        <v>99195962</v>
      </c>
      <c r="N25" s="1428">
        <f t="shared" si="11"/>
        <v>99195962</v>
      </c>
      <c r="O25" s="1428">
        <f t="shared" si="11"/>
        <v>99195962</v>
      </c>
      <c r="P25" s="1428">
        <f>SUM(P26:P28)</f>
        <v>95082225</v>
      </c>
      <c r="Q25" s="1428">
        <f>SUM(Q26:Q28)</f>
        <v>101923877</v>
      </c>
      <c r="R25" s="1429">
        <f>Q25/P25</f>
        <v>1.0719551104320497</v>
      </c>
      <c r="S25" s="1428">
        <f t="shared" si="11"/>
        <v>8655900</v>
      </c>
      <c r="T25" s="1428">
        <f t="shared" si="11"/>
        <v>8655900</v>
      </c>
      <c r="U25" s="1428">
        <f t="shared" si="11"/>
        <v>8655900</v>
      </c>
      <c r="V25" s="1428">
        <f t="shared" si="11"/>
        <v>8655900</v>
      </c>
      <c r="W25" s="1428">
        <f aca="true" t="shared" si="12" ref="W25:AE25">SUM(W26:W28)</f>
        <v>6841652</v>
      </c>
      <c r="X25" s="1428">
        <f>SUM(X26:X28)</f>
        <v>6841652</v>
      </c>
      <c r="Y25" s="1429">
        <f>X25/W25</f>
        <v>1</v>
      </c>
      <c r="Z25" s="1428">
        <f t="shared" si="12"/>
        <v>6843890</v>
      </c>
      <c r="AA25" s="1428">
        <f t="shared" si="12"/>
        <v>6843890</v>
      </c>
      <c r="AB25" s="1428">
        <f t="shared" si="12"/>
        <v>6843890</v>
      </c>
      <c r="AC25" s="1428">
        <f t="shared" si="12"/>
        <v>6843890</v>
      </c>
      <c r="AD25" s="1428">
        <f t="shared" si="12"/>
        <v>6843890</v>
      </c>
      <c r="AE25" s="1428">
        <f t="shared" si="12"/>
        <v>6035702</v>
      </c>
      <c r="AF25" s="1429">
        <f>AE25/AD25</f>
        <v>0.8819110184412666</v>
      </c>
      <c r="AG25" s="1347"/>
      <c r="AH25" s="1343"/>
    </row>
    <row r="26" spans="1:34" s="1394" customFormat="1" ht="15" customHeight="1" thickBot="1">
      <c r="A26" s="1349"/>
      <c r="B26" s="1431" t="s">
        <v>43</v>
      </c>
      <c r="C26" s="1405" t="s">
        <v>130</v>
      </c>
      <c r="D26" s="1406">
        <v>900462</v>
      </c>
      <c r="E26" s="1406">
        <v>900462</v>
      </c>
      <c r="F26" s="1406">
        <v>900462</v>
      </c>
      <c r="G26" s="1406">
        <v>900462</v>
      </c>
      <c r="H26" s="1406">
        <v>900462</v>
      </c>
      <c r="I26" s="1406">
        <v>900462</v>
      </c>
      <c r="J26" s="1432">
        <f>I26/H26</f>
        <v>1</v>
      </c>
      <c r="K26" s="1408"/>
      <c r="L26" s="1406">
        <f aca="true" t="shared" si="13" ref="L26:P27">+D26-S26</f>
        <v>900462</v>
      </c>
      <c r="M26" s="1406">
        <f t="shared" si="13"/>
        <v>900462</v>
      </c>
      <c r="N26" s="1406">
        <f t="shared" si="13"/>
        <v>900462</v>
      </c>
      <c r="O26" s="1406">
        <f t="shared" si="13"/>
        <v>900462</v>
      </c>
      <c r="P26" s="1406">
        <f t="shared" si="13"/>
        <v>900462</v>
      </c>
      <c r="Q26" s="1406">
        <v>900462</v>
      </c>
      <c r="R26" s="1432">
        <f>Q26/P26</f>
        <v>1</v>
      </c>
      <c r="S26" s="1406"/>
      <c r="T26" s="1406"/>
      <c r="U26" s="1406"/>
      <c r="V26" s="1406"/>
      <c r="W26" s="1406"/>
      <c r="X26" s="1406"/>
      <c r="Y26" s="1432"/>
      <c r="Z26" s="1409"/>
      <c r="AA26" s="1409"/>
      <c r="AB26" s="1409"/>
      <c r="AC26" s="1409"/>
      <c r="AD26" s="1409"/>
      <c r="AE26" s="1406"/>
      <c r="AF26" s="1432"/>
      <c r="AG26" s="1433"/>
      <c r="AH26" s="1434"/>
    </row>
    <row r="27" spans="1:34" s="1394" customFormat="1" ht="15" customHeight="1">
      <c r="A27" s="1435"/>
      <c r="B27" s="1436" t="s">
        <v>44</v>
      </c>
      <c r="C27" s="1437" t="s">
        <v>433</v>
      </c>
      <c r="D27" s="1438">
        <v>106951400</v>
      </c>
      <c r="E27" s="1438">
        <v>106951400</v>
      </c>
      <c r="F27" s="1438">
        <v>106951400</v>
      </c>
      <c r="G27" s="1438">
        <v>106951400</v>
      </c>
      <c r="H27" s="1438">
        <v>101023415</v>
      </c>
      <c r="I27" s="1438">
        <v>101023415</v>
      </c>
      <c r="J27" s="1432">
        <f>I27/H27</f>
        <v>1</v>
      </c>
      <c r="K27" s="1439"/>
      <c r="L27" s="1438">
        <f t="shared" si="13"/>
        <v>98295500</v>
      </c>
      <c r="M27" s="1438">
        <f t="shared" si="13"/>
        <v>98295500</v>
      </c>
      <c r="N27" s="1438">
        <f t="shared" si="13"/>
        <v>98295500</v>
      </c>
      <c r="O27" s="1438">
        <f t="shared" si="13"/>
        <v>98295500</v>
      </c>
      <c r="P27" s="1438">
        <f t="shared" si="13"/>
        <v>94181763</v>
      </c>
      <c r="Q27" s="1438">
        <v>101023415</v>
      </c>
      <c r="R27" s="1432">
        <f>Q27/P27</f>
        <v>1.0726430657281283</v>
      </c>
      <c r="S27" s="1438">
        <v>8655900</v>
      </c>
      <c r="T27" s="1438">
        <v>8655900</v>
      </c>
      <c r="U27" s="1438">
        <v>8655900</v>
      </c>
      <c r="V27" s="1438">
        <v>8655900</v>
      </c>
      <c r="W27" s="1438">
        <v>6841652</v>
      </c>
      <c r="X27" s="1438">
        <v>6841652</v>
      </c>
      <c r="Y27" s="1432">
        <f>X27/W27</f>
        <v>1</v>
      </c>
      <c r="Z27" s="1440">
        <v>6843890</v>
      </c>
      <c r="AA27" s="1440">
        <v>6843890</v>
      </c>
      <c r="AB27" s="1440">
        <v>6843890</v>
      </c>
      <c r="AC27" s="1440">
        <v>6843890</v>
      </c>
      <c r="AD27" s="1440">
        <v>6843890</v>
      </c>
      <c r="AE27" s="1441">
        <v>6035702</v>
      </c>
      <c r="AF27" s="1432">
        <f>AE27/AD27</f>
        <v>0.8819110184412666</v>
      </c>
      <c r="AG27" s="1442"/>
      <c r="AH27" s="1443"/>
    </row>
    <row r="28" spans="1:34" s="1394" customFormat="1" ht="15" customHeight="1" thickBot="1">
      <c r="A28" s="1444"/>
      <c r="B28" s="1445" t="s">
        <v>70</v>
      </c>
      <c r="C28" s="1446" t="s">
        <v>132</v>
      </c>
      <c r="D28" s="1447"/>
      <c r="E28" s="1447"/>
      <c r="F28" s="1447"/>
      <c r="G28" s="1447"/>
      <c r="H28" s="1447"/>
      <c r="I28" s="1447"/>
      <c r="J28" s="1448"/>
      <c r="K28" s="1449"/>
      <c r="L28" s="1447"/>
      <c r="M28" s="1447"/>
      <c r="N28" s="1447"/>
      <c r="O28" s="1447"/>
      <c r="P28" s="1447"/>
      <c r="Q28" s="1447"/>
      <c r="R28" s="1448"/>
      <c r="S28" s="1447"/>
      <c r="T28" s="1447"/>
      <c r="U28" s="1447"/>
      <c r="V28" s="1447"/>
      <c r="W28" s="1447"/>
      <c r="X28" s="1447"/>
      <c r="Y28" s="1448"/>
      <c r="Z28" s="1450"/>
      <c r="AA28" s="1450"/>
      <c r="AB28" s="1450"/>
      <c r="AC28" s="1450"/>
      <c r="AD28" s="1450"/>
      <c r="AE28" s="1451"/>
      <c r="AF28" s="1448"/>
      <c r="AG28" s="1449"/>
      <c r="AH28" s="1447"/>
    </row>
    <row r="29" spans="1:34" ht="13.5" hidden="1" thickBot="1">
      <c r="A29" s="1452" t="s">
        <v>12</v>
      </c>
      <c r="B29" s="1453"/>
      <c r="C29" s="1454" t="s">
        <v>133</v>
      </c>
      <c r="D29" s="1422"/>
      <c r="E29" s="1422"/>
      <c r="F29" s="1422"/>
      <c r="G29" s="1422"/>
      <c r="H29" s="1422"/>
      <c r="I29" s="1422"/>
      <c r="J29" s="1455" t="e">
        <f>H29/F29</f>
        <v>#DIV/0!</v>
      </c>
      <c r="K29" s="1421"/>
      <c r="L29" s="1422"/>
      <c r="M29" s="1422"/>
      <c r="N29" s="1422"/>
      <c r="O29" s="1422"/>
      <c r="P29" s="1422"/>
      <c r="Q29" s="1422"/>
      <c r="R29" s="1455" t="e">
        <f>P29/N29</f>
        <v>#DIV/0!</v>
      </c>
      <c r="S29" s="1422"/>
      <c r="T29" s="1422"/>
      <c r="U29" s="1422"/>
      <c r="V29" s="1422"/>
      <c r="W29" s="1422"/>
      <c r="X29" s="1422"/>
      <c r="Y29" s="1455" t="e">
        <f>W29/U29</f>
        <v>#DIV/0!</v>
      </c>
      <c r="Z29" s="1422"/>
      <c r="AA29" s="1422"/>
      <c r="AB29" s="1422"/>
      <c r="AC29" s="1422"/>
      <c r="AD29" s="1422"/>
      <c r="AE29" s="1423"/>
      <c r="AF29" s="1455" t="e">
        <f>AD29/AB29</f>
        <v>#DIV/0!</v>
      </c>
      <c r="AG29" s="1421"/>
      <c r="AH29" s="1419"/>
    </row>
    <row r="30" spans="1:34" s="1333" customFormat="1" ht="16.5" customHeight="1" thickBot="1">
      <c r="A30" s="1452" t="s">
        <v>12</v>
      </c>
      <c r="B30" s="1456"/>
      <c r="C30" s="1457" t="s">
        <v>272</v>
      </c>
      <c r="D30" s="1458">
        <f aca="true" t="shared" si="14" ref="D30:I30">D24+D29+D25</f>
        <v>107901962</v>
      </c>
      <c r="E30" s="1458">
        <f t="shared" si="14"/>
        <v>107901962</v>
      </c>
      <c r="F30" s="1458">
        <f t="shared" si="14"/>
        <v>110884374</v>
      </c>
      <c r="G30" s="1458">
        <f t="shared" si="14"/>
        <v>110913430</v>
      </c>
      <c r="H30" s="1458">
        <f t="shared" si="14"/>
        <v>109703274</v>
      </c>
      <c r="I30" s="1458">
        <f t="shared" si="14"/>
        <v>109703190</v>
      </c>
      <c r="J30" s="1459">
        <f>I30/H30</f>
        <v>0.9999992342981486</v>
      </c>
      <c r="K30" s="1460">
        <f aca="true" t="shared" si="15" ref="K30:V30">K24+K29+K25</f>
        <v>0</v>
      </c>
      <c r="L30" s="1458">
        <f t="shared" si="15"/>
        <v>99246062</v>
      </c>
      <c r="M30" s="1458">
        <f t="shared" si="15"/>
        <v>99246062</v>
      </c>
      <c r="N30" s="1458">
        <f t="shared" si="15"/>
        <v>102228474</v>
      </c>
      <c r="O30" s="1458">
        <f t="shared" si="15"/>
        <v>102257530</v>
      </c>
      <c r="P30" s="1458">
        <f>P24+P29+P25</f>
        <v>102861622</v>
      </c>
      <c r="Q30" s="1458">
        <f>Q24+Q29+Q25</f>
        <v>109703190</v>
      </c>
      <c r="R30" s="1459">
        <f>Q30/P30</f>
        <v>1.066512348016445</v>
      </c>
      <c r="S30" s="1458">
        <f t="shared" si="15"/>
        <v>8655900</v>
      </c>
      <c r="T30" s="1458">
        <f t="shared" si="15"/>
        <v>8655900</v>
      </c>
      <c r="U30" s="1458">
        <f t="shared" si="15"/>
        <v>8655900</v>
      </c>
      <c r="V30" s="1458">
        <f t="shared" si="15"/>
        <v>8655900</v>
      </c>
      <c r="W30" s="1458">
        <f aca="true" t="shared" si="16" ref="W30:AE30">W24+W29+W25</f>
        <v>6841652</v>
      </c>
      <c r="X30" s="1458">
        <f>X24+X29+X25</f>
        <v>6841652</v>
      </c>
      <c r="Y30" s="1459">
        <f>X30/W30</f>
        <v>1</v>
      </c>
      <c r="Z30" s="1458">
        <f t="shared" si="16"/>
        <v>6843890</v>
      </c>
      <c r="AA30" s="1458">
        <f t="shared" si="16"/>
        <v>6843890</v>
      </c>
      <c r="AB30" s="1458">
        <f t="shared" si="16"/>
        <v>6843890</v>
      </c>
      <c r="AC30" s="1458">
        <f t="shared" si="16"/>
        <v>6843890</v>
      </c>
      <c r="AD30" s="1458">
        <f t="shared" si="16"/>
        <v>6843890</v>
      </c>
      <c r="AE30" s="1458">
        <f t="shared" si="16"/>
        <v>6035702</v>
      </c>
      <c r="AF30" s="1459">
        <f>AE30/AD30</f>
        <v>0.8819110184412666</v>
      </c>
      <c r="AG30" s="1460"/>
      <c r="AH30" s="1461"/>
    </row>
    <row r="31" spans="1:27" s="1466" customFormat="1" ht="12" customHeight="1">
      <c r="A31" s="1462"/>
      <c r="B31" s="1462"/>
      <c r="C31" s="1463"/>
      <c r="D31" s="1464"/>
      <c r="E31" s="1464"/>
      <c r="F31" s="1464"/>
      <c r="G31" s="1464"/>
      <c r="H31" s="1464"/>
      <c r="I31" s="1464"/>
      <c r="J31" s="1465"/>
      <c r="K31" s="1464"/>
      <c r="L31" s="1464"/>
      <c r="M31" s="1464"/>
      <c r="N31" s="1464"/>
      <c r="O31" s="1464"/>
      <c r="P31" s="1464"/>
      <c r="Q31" s="1464"/>
      <c r="R31" s="1465"/>
      <c r="S31" s="1464"/>
      <c r="T31" s="1464"/>
      <c r="U31" s="1464"/>
      <c r="V31" s="1464"/>
      <c r="W31" s="1464"/>
      <c r="X31" s="1464"/>
      <c r="Y31" s="1464"/>
      <c r="Z31" s="1464"/>
      <c r="AA31" s="1464"/>
    </row>
    <row r="32" spans="1:27" ht="12" customHeight="1" thickBot="1">
      <c r="A32" s="1467"/>
      <c r="B32" s="1468"/>
      <c r="C32" s="1468"/>
      <c r="D32" s="1469"/>
      <c r="E32" s="1469"/>
      <c r="F32" s="1469"/>
      <c r="G32" s="1469"/>
      <c r="H32" s="1469"/>
      <c r="I32" s="1469"/>
      <c r="J32" s="1470"/>
      <c r="K32" s="1469"/>
      <c r="L32" s="1469"/>
      <c r="M32" s="1469"/>
      <c r="N32" s="1469"/>
      <c r="O32" s="1469"/>
      <c r="P32" s="1469"/>
      <c r="Q32" s="1469"/>
      <c r="R32" s="1470"/>
      <c r="S32" s="1469"/>
      <c r="T32" s="1469"/>
      <c r="U32" s="1469"/>
      <c r="V32" s="1469"/>
      <c r="W32" s="1469"/>
      <c r="X32" s="1469"/>
      <c r="Y32" s="1469"/>
      <c r="Z32" s="1469"/>
      <c r="AA32" s="1469"/>
    </row>
    <row r="33" spans="1:33" ht="12" customHeight="1" thickBot="1">
      <c r="A33" s="1471"/>
      <c r="B33" s="1472"/>
      <c r="C33" s="1323" t="s">
        <v>135</v>
      </c>
      <c r="D33" s="1473"/>
      <c r="E33" s="1473"/>
      <c r="F33" s="1473"/>
      <c r="G33" s="1473"/>
      <c r="H33" s="1473"/>
      <c r="I33" s="1473"/>
      <c r="J33" s="1474"/>
      <c r="K33" s="1473"/>
      <c r="L33" s="1473"/>
      <c r="M33" s="1473"/>
      <c r="N33" s="1473"/>
      <c r="O33" s="1473"/>
      <c r="P33" s="1473"/>
      <c r="Q33" s="1473"/>
      <c r="R33" s="1474"/>
      <c r="S33" s="1473"/>
      <c r="T33" s="1473"/>
      <c r="U33" s="1473"/>
      <c r="V33" s="1473"/>
      <c r="W33" s="1473"/>
      <c r="X33" s="1473"/>
      <c r="Y33" s="1473"/>
      <c r="Z33" s="1475"/>
      <c r="AA33" s="1475"/>
      <c r="AB33" s="1461"/>
      <c r="AC33" s="1461"/>
      <c r="AD33" s="1461"/>
      <c r="AE33" s="1476"/>
      <c r="AF33" s="1460"/>
      <c r="AG33" s="1477"/>
    </row>
    <row r="34" spans="1:34" ht="12" customHeight="1" thickBot="1">
      <c r="A34" s="1402" t="s">
        <v>26</v>
      </c>
      <c r="B34" s="1478"/>
      <c r="C34" s="1479" t="s">
        <v>136</v>
      </c>
      <c r="D34" s="1346">
        <f aca="true" t="shared" si="17" ref="D34:I34">SUM(D35:D39)</f>
        <v>106462893</v>
      </c>
      <c r="E34" s="1346">
        <f t="shared" si="17"/>
        <v>106462893</v>
      </c>
      <c r="F34" s="1346">
        <f t="shared" si="17"/>
        <v>109445305</v>
      </c>
      <c r="G34" s="1346">
        <f t="shared" si="17"/>
        <v>109474361</v>
      </c>
      <c r="H34" s="1346">
        <f t="shared" si="17"/>
        <v>108633724</v>
      </c>
      <c r="I34" s="1346">
        <f t="shared" si="17"/>
        <v>106552887</v>
      </c>
      <c r="J34" s="1480">
        <f>I34/H34</f>
        <v>0.9808453864658088</v>
      </c>
      <c r="K34" s="1481">
        <f aca="true" t="shared" si="18" ref="K34:V34">SUM(K35:K39)</f>
        <v>0</v>
      </c>
      <c r="L34" s="1346">
        <f t="shared" si="18"/>
        <v>97806993</v>
      </c>
      <c r="M34" s="1346">
        <f t="shared" si="18"/>
        <v>97806993</v>
      </c>
      <c r="N34" s="1346">
        <f t="shared" si="18"/>
        <v>100789405</v>
      </c>
      <c r="O34" s="1346">
        <f t="shared" si="18"/>
        <v>100818461</v>
      </c>
      <c r="P34" s="1346">
        <f>SUM(P35:P39)</f>
        <v>101792072</v>
      </c>
      <c r="Q34" s="1346">
        <f>SUM(Q35:Q39)</f>
        <v>99711235</v>
      </c>
      <c r="R34" s="1480">
        <f>Q34/P34</f>
        <v>0.9795579659681158</v>
      </c>
      <c r="S34" s="1346">
        <f t="shared" si="18"/>
        <v>8655900</v>
      </c>
      <c r="T34" s="1346">
        <f t="shared" si="18"/>
        <v>8655900</v>
      </c>
      <c r="U34" s="1346">
        <f t="shared" si="18"/>
        <v>8655900</v>
      </c>
      <c r="V34" s="1346">
        <f t="shared" si="18"/>
        <v>8655900</v>
      </c>
      <c r="W34" s="1346">
        <f aca="true" t="shared" si="19" ref="W34:AE34">SUM(W35:W39)</f>
        <v>6841652</v>
      </c>
      <c r="X34" s="1346">
        <f>SUM(X35:X39)</f>
        <v>6841652</v>
      </c>
      <c r="Y34" s="1480">
        <f>X34/W34</f>
        <v>1</v>
      </c>
      <c r="Z34" s="1346">
        <f t="shared" si="19"/>
        <v>6843890</v>
      </c>
      <c r="AA34" s="1346">
        <f t="shared" si="19"/>
        <v>6843890</v>
      </c>
      <c r="AB34" s="1346">
        <f t="shared" si="19"/>
        <v>6843890</v>
      </c>
      <c r="AC34" s="1346">
        <f t="shared" si="19"/>
        <v>6843890</v>
      </c>
      <c r="AD34" s="1346">
        <f t="shared" si="19"/>
        <v>6843890</v>
      </c>
      <c r="AE34" s="1346">
        <f t="shared" si="19"/>
        <v>6035702</v>
      </c>
      <c r="AF34" s="1311">
        <f>AE34/AD34</f>
        <v>0.8819110184412666</v>
      </c>
      <c r="AG34" s="1482"/>
      <c r="AH34" s="1347">
        <f>SUM(AH35:AH39)</f>
        <v>0</v>
      </c>
    </row>
    <row r="35" spans="1:34" ht="12" customHeight="1">
      <c r="A35" s="1483"/>
      <c r="B35" s="1484" t="s">
        <v>110</v>
      </c>
      <c r="C35" s="1485" t="s">
        <v>137</v>
      </c>
      <c r="D35" s="1366">
        <v>73789382</v>
      </c>
      <c r="E35" s="1366">
        <v>73789382</v>
      </c>
      <c r="F35" s="1366">
        <v>75855426</v>
      </c>
      <c r="G35" s="1366">
        <v>75884482</v>
      </c>
      <c r="H35" s="1366">
        <v>77346486</v>
      </c>
      <c r="I35" s="1366">
        <v>76882289</v>
      </c>
      <c r="J35" s="1486">
        <f>I35/H35</f>
        <v>0.9939984733113797</v>
      </c>
      <c r="K35" s="1487"/>
      <c r="L35" s="1366">
        <f aca="true" t="shared" si="20" ref="L35:Q37">+D35-S35</f>
        <v>66694382</v>
      </c>
      <c r="M35" s="1366">
        <f t="shared" si="20"/>
        <v>66694382</v>
      </c>
      <c r="N35" s="1366">
        <f t="shared" si="20"/>
        <v>68760426</v>
      </c>
      <c r="O35" s="1366">
        <f t="shared" si="20"/>
        <v>68789482</v>
      </c>
      <c r="P35" s="1366">
        <f t="shared" si="20"/>
        <v>71517109</v>
      </c>
      <c r="Q35" s="1366">
        <f t="shared" si="20"/>
        <v>71052912</v>
      </c>
      <c r="R35" s="1486">
        <f>Q35/P35</f>
        <v>0.9935092874070175</v>
      </c>
      <c r="S35" s="1366">
        <v>7095000</v>
      </c>
      <c r="T35" s="1366">
        <v>7095000</v>
      </c>
      <c r="U35" s="1366">
        <v>7095000</v>
      </c>
      <c r="V35" s="1366">
        <v>7095000</v>
      </c>
      <c r="W35" s="1366">
        <v>5829377</v>
      </c>
      <c r="X35" s="1366">
        <v>5829377</v>
      </c>
      <c r="Y35" s="1486">
        <f>X35/W35</f>
        <v>1</v>
      </c>
      <c r="Z35" s="1400">
        <v>4877374</v>
      </c>
      <c r="AA35" s="1400">
        <v>4877374</v>
      </c>
      <c r="AB35" s="1400">
        <v>4877374</v>
      </c>
      <c r="AC35" s="1400">
        <v>4877374</v>
      </c>
      <c r="AD35" s="1400">
        <v>4877374</v>
      </c>
      <c r="AE35" s="1400">
        <v>4317274</v>
      </c>
      <c r="AF35" s="1488">
        <f>AE35/AD35</f>
        <v>0.8851636146828191</v>
      </c>
      <c r="AG35" s="1489"/>
      <c r="AH35" s="1398"/>
    </row>
    <row r="36" spans="1:34" ht="12" customHeight="1">
      <c r="A36" s="1490"/>
      <c r="B36" s="1491" t="s">
        <v>111</v>
      </c>
      <c r="C36" s="1492" t="s">
        <v>50</v>
      </c>
      <c r="D36" s="1493">
        <v>14839148</v>
      </c>
      <c r="E36" s="1493">
        <v>14839148</v>
      </c>
      <c r="F36" s="1493">
        <v>15246233</v>
      </c>
      <c r="G36" s="1493">
        <v>15246233</v>
      </c>
      <c r="H36" s="1493">
        <v>15026267</v>
      </c>
      <c r="I36" s="1493">
        <v>14874274</v>
      </c>
      <c r="J36" s="1486">
        <f>I36/H36</f>
        <v>0.989884846316121</v>
      </c>
      <c r="K36" s="1494"/>
      <c r="L36" s="1366">
        <f t="shared" si="20"/>
        <v>13278248</v>
      </c>
      <c r="M36" s="1366">
        <f t="shared" si="20"/>
        <v>13278248</v>
      </c>
      <c r="N36" s="1366">
        <f t="shared" si="20"/>
        <v>13685333</v>
      </c>
      <c r="O36" s="1366">
        <f t="shared" si="20"/>
        <v>13685333</v>
      </c>
      <c r="P36" s="1366">
        <f t="shared" si="20"/>
        <v>14013992</v>
      </c>
      <c r="Q36" s="1366">
        <f t="shared" si="20"/>
        <v>13861999</v>
      </c>
      <c r="R36" s="1486">
        <f>Q36/P36</f>
        <v>0.9891541967485068</v>
      </c>
      <c r="S36" s="1493">
        <v>1560900</v>
      </c>
      <c r="T36" s="1493">
        <v>1560900</v>
      </c>
      <c r="U36" s="1493">
        <v>1560900</v>
      </c>
      <c r="V36" s="1493">
        <v>1560900</v>
      </c>
      <c r="W36" s="1493">
        <v>1012275</v>
      </c>
      <c r="X36" s="1493">
        <v>1012275</v>
      </c>
      <c r="Y36" s="1486">
        <f>X36/W36</f>
        <v>1</v>
      </c>
      <c r="Z36" s="1400">
        <v>955902</v>
      </c>
      <c r="AA36" s="1400">
        <v>955902</v>
      </c>
      <c r="AB36" s="1400">
        <v>955902</v>
      </c>
      <c r="AC36" s="1400">
        <v>955902</v>
      </c>
      <c r="AD36" s="1400">
        <v>955902</v>
      </c>
      <c r="AE36" s="1400">
        <v>818171</v>
      </c>
      <c r="AF36" s="1488">
        <f>AE36/AD36</f>
        <v>0.8559151461133045</v>
      </c>
      <c r="AG36" s="1489"/>
      <c r="AH36" s="1398"/>
    </row>
    <row r="37" spans="1:34" ht="12" customHeight="1">
      <c r="A37" s="1490"/>
      <c r="B37" s="1491" t="s">
        <v>112</v>
      </c>
      <c r="C37" s="1492" t="s">
        <v>138</v>
      </c>
      <c r="D37" s="1493">
        <v>17834363</v>
      </c>
      <c r="E37" s="1493">
        <v>17834363</v>
      </c>
      <c r="F37" s="1493">
        <v>18343646</v>
      </c>
      <c r="G37" s="1493">
        <v>18343646</v>
      </c>
      <c r="H37" s="1493">
        <v>16260971</v>
      </c>
      <c r="I37" s="1493">
        <v>14796324</v>
      </c>
      <c r="J37" s="1486">
        <f>I37/H37</f>
        <v>0.9099286875304063</v>
      </c>
      <c r="K37" s="1494"/>
      <c r="L37" s="1366">
        <f t="shared" si="20"/>
        <v>17834363</v>
      </c>
      <c r="M37" s="1366">
        <f t="shared" si="20"/>
        <v>17834363</v>
      </c>
      <c r="N37" s="1366">
        <f t="shared" si="20"/>
        <v>18343646</v>
      </c>
      <c r="O37" s="1366">
        <f t="shared" si="20"/>
        <v>18343646</v>
      </c>
      <c r="P37" s="1366">
        <f t="shared" si="20"/>
        <v>16260971</v>
      </c>
      <c r="Q37" s="1366">
        <f t="shared" si="20"/>
        <v>14796324</v>
      </c>
      <c r="R37" s="1486">
        <f>Q37/P37</f>
        <v>0.9099286875304063</v>
      </c>
      <c r="S37" s="1493"/>
      <c r="T37" s="1493"/>
      <c r="U37" s="1493"/>
      <c r="V37" s="1493"/>
      <c r="W37" s="1493"/>
      <c r="X37" s="1493"/>
      <c r="Y37" s="1486"/>
      <c r="Z37" s="1400">
        <v>1010614</v>
      </c>
      <c r="AA37" s="1400">
        <v>1010614</v>
      </c>
      <c r="AB37" s="1400">
        <v>1010614</v>
      </c>
      <c r="AC37" s="1400">
        <v>1010614</v>
      </c>
      <c r="AD37" s="1400">
        <v>1010614</v>
      </c>
      <c r="AE37" s="1400">
        <v>900257</v>
      </c>
      <c r="AF37" s="1488">
        <f>AE37/AD37</f>
        <v>0.8908020272824243</v>
      </c>
      <c r="AG37" s="1489"/>
      <c r="AH37" s="1398"/>
    </row>
    <row r="38" spans="1:34" s="1466" customFormat="1" ht="12" customHeight="1">
      <c r="A38" s="1490"/>
      <c r="B38" s="1491" t="s">
        <v>113</v>
      </c>
      <c r="C38" s="1492" t="s">
        <v>80</v>
      </c>
      <c r="D38" s="1493"/>
      <c r="E38" s="1493"/>
      <c r="F38" s="1493"/>
      <c r="G38" s="1493"/>
      <c r="H38" s="1493"/>
      <c r="I38" s="1493"/>
      <c r="J38" s="1486"/>
      <c r="K38" s="1494"/>
      <c r="L38" s="1493"/>
      <c r="M38" s="1493"/>
      <c r="N38" s="1493"/>
      <c r="O38" s="1493"/>
      <c r="P38" s="1493"/>
      <c r="Q38" s="1493"/>
      <c r="R38" s="1486"/>
      <c r="S38" s="1493"/>
      <c r="T38" s="1493"/>
      <c r="U38" s="1493"/>
      <c r="V38" s="1493"/>
      <c r="W38" s="1493"/>
      <c r="X38" s="1493"/>
      <c r="Y38" s="1486"/>
      <c r="Z38" s="1400"/>
      <c r="AA38" s="1400"/>
      <c r="AB38" s="1400"/>
      <c r="AC38" s="1400"/>
      <c r="AD38" s="1400"/>
      <c r="AE38" s="1400"/>
      <c r="AF38" s="1398"/>
      <c r="AG38" s="1495"/>
      <c r="AH38" s="1398"/>
    </row>
    <row r="39" spans="1:34" ht="12" customHeight="1" thickBot="1">
      <c r="A39" s="1490"/>
      <c r="B39" s="1491" t="s">
        <v>49</v>
      </c>
      <c r="C39" s="1492" t="s">
        <v>82</v>
      </c>
      <c r="D39" s="1493"/>
      <c r="E39" s="1493"/>
      <c r="F39" s="1493"/>
      <c r="G39" s="1493"/>
      <c r="H39" s="1493"/>
      <c r="I39" s="1493"/>
      <c r="J39" s="1486"/>
      <c r="K39" s="1494"/>
      <c r="L39" s="1493"/>
      <c r="M39" s="1493"/>
      <c r="N39" s="1493"/>
      <c r="O39" s="1493"/>
      <c r="P39" s="1493"/>
      <c r="Q39" s="1493"/>
      <c r="R39" s="1486"/>
      <c r="S39" s="1493"/>
      <c r="T39" s="1493"/>
      <c r="U39" s="1493"/>
      <c r="V39" s="1493"/>
      <c r="W39" s="1493"/>
      <c r="X39" s="1493"/>
      <c r="Y39" s="1486"/>
      <c r="Z39" s="1493"/>
      <c r="AA39" s="1493"/>
      <c r="AB39" s="1493"/>
      <c r="AC39" s="1493"/>
      <c r="AD39" s="1493"/>
      <c r="AE39" s="1493"/>
      <c r="AF39" s="1496"/>
      <c r="AG39" s="1494"/>
      <c r="AH39" s="1496"/>
    </row>
    <row r="40" spans="1:34" ht="12" customHeight="1" thickBot="1">
      <c r="A40" s="1402" t="s">
        <v>27</v>
      </c>
      <c r="B40" s="1478"/>
      <c r="C40" s="1479" t="s">
        <v>139</v>
      </c>
      <c r="D40" s="1346">
        <f aca="true" t="shared" si="21" ref="D40:I40">SUM(D41:D44)</f>
        <v>1439069</v>
      </c>
      <c r="E40" s="1346">
        <f t="shared" si="21"/>
        <v>1439069</v>
      </c>
      <c r="F40" s="1346">
        <f t="shared" si="21"/>
        <v>1439069</v>
      </c>
      <c r="G40" s="1346">
        <f t="shared" si="21"/>
        <v>1439069</v>
      </c>
      <c r="H40" s="1346">
        <f t="shared" si="21"/>
        <v>1069550</v>
      </c>
      <c r="I40" s="1346">
        <f t="shared" si="21"/>
        <v>1069550</v>
      </c>
      <c r="J40" s="1497">
        <f>I40/H40</f>
        <v>1</v>
      </c>
      <c r="K40" s="1481">
        <f aca="true" t="shared" si="22" ref="K40:P40">SUM(K41:K44)</f>
        <v>0</v>
      </c>
      <c r="L40" s="1346">
        <f t="shared" si="22"/>
        <v>1439069</v>
      </c>
      <c r="M40" s="1346">
        <f t="shared" si="22"/>
        <v>1439069</v>
      </c>
      <c r="N40" s="1346">
        <f t="shared" si="22"/>
        <v>1439069</v>
      </c>
      <c r="O40" s="1346">
        <f t="shared" si="22"/>
        <v>1439069</v>
      </c>
      <c r="P40" s="1346">
        <f t="shared" si="22"/>
        <v>1069550</v>
      </c>
      <c r="Q40" s="1346">
        <f>SUM(Q41:Q44)</f>
        <v>1069550</v>
      </c>
      <c r="R40" s="1497">
        <f>Q40/P40</f>
        <v>1</v>
      </c>
      <c r="S40" s="1346"/>
      <c r="T40" s="1346"/>
      <c r="U40" s="1346"/>
      <c r="V40" s="1346"/>
      <c r="W40" s="1346"/>
      <c r="X40" s="1346"/>
      <c r="Y40" s="1497"/>
      <c r="Z40" s="1346">
        <f aca="true" t="shared" si="23" ref="Z40:AF40">SUM(Z41:Z44)</f>
        <v>0</v>
      </c>
      <c r="AA40" s="1346">
        <f>SUM(AA41:AA44)</f>
        <v>0</v>
      </c>
      <c r="AB40" s="1346">
        <f>SUM(AB41:AB44)</f>
        <v>0</v>
      </c>
      <c r="AC40" s="1346">
        <f>SUM(AC41:AC44)</f>
        <v>0</v>
      </c>
      <c r="AD40" s="1346">
        <f>SUM(AD41:AD44)</f>
        <v>0</v>
      </c>
      <c r="AE40" s="1346">
        <f t="shared" si="23"/>
        <v>0</v>
      </c>
      <c r="AF40" s="1347">
        <f t="shared" si="23"/>
        <v>0</v>
      </c>
      <c r="AG40" s="1481"/>
      <c r="AH40" s="1347">
        <f>SUM(AH41:AH44)</f>
        <v>0</v>
      </c>
    </row>
    <row r="41" spans="1:34" ht="12" customHeight="1">
      <c r="A41" s="1483"/>
      <c r="B41" s="1484" t="s">
        <v>140</v>
      </c>
      <c r="C41" s="1485" t="s">
        <v>92</v>
      </c>
      <c r="D41" s="1493">
        <v>1439069</v>
      </c>
      <c r="E41" s="1493">
        <v>1439069</v>
      </c>
      <c r="F41" s="1493">
        <v>1439069</v>
      </c>
      <c r="G41" s="1493">
        <v>1439069</v>
      </c>
      <c r="H41" s="1493">
        <v>1069550</v>
      </c>
      <c r="I41" s="1493">
        <v>1069550</v>
      </c>
      <c r="J41" s="1486">
        <f>I41/H41</f>
        <v>1</v>
      </c>
      <c r="K41" s="1487"/>
      <c r="L41" s="1366">
        <f aca="true" t="shared" si="24" ref="L41:Q41">+D41-S41</f>
        <v>1439069</v>
      </c>
      <c r="M41" s="1366">
        <f t="shared" si="24"/>
        <v>1439069</v>
      </c>
      <c r="N41" s="1366">
        <f t="shared" si="24"/>
        <v>1439069</v>
      </c>
      <c r="O41" s="1366">
        <f t="shared" si="24"/>
        <v>1439069</v>
      </c>
      <c r="P41" s="1366">
        <f t="shared" si="24"/>
        <v>1069550</v>
      </c>
      <c r="Q41" s="1366">
        <f t="shared" si="24"/>
        <v>1069550</v>
      </c>
      <c r="R41" s="1486">
        <f>Q41/P41</f>
        <v>1</v>
      </c>
      <c r="S41" s="1366"/>
      <c r="T41" s="1366"/>
      <c r="U41" s="1366"/>
      <c r="V41" s="1366"/>
      <c r="W41" s="1366"/>
      <c r="X41" s="1366"/>
      <c r="Y41" s="1486"/>
      <c r="Z41" s="1400"/>
      <c r="AA41" s="1400"/>
      <c r="AB41" s="1400"/>
      <c r="AC41" s="1400"/>
      <c r="AD41" s="1400"/>
      <c r="AE41" s="1400"/>
      <c r="AF41" s="1398"/>
      <c r="AG41" s="1495"/>
      <c r="AH41" s="1398"/>
    </row>
    <row r="42" spans="1:34" ht="12" customHeight="1">
      <c r="A42" s="1490"/>
      <c r="B42" s="1491" t="s">
        <v>141</v>
      </c>
      <c r="C42" s="1492" t="s">
        <v>93</v>
      </c>
      <c r="D42" s="1493"/>
      <c r="E42" s="1493"/>
      <c r="F42" s="1493"/>
      <c r="G42" s="1493"/>
      <c r="H42" s="1493"/>
      <c r="I42" s="1493"/>
      <c r="J42" s="1498"/>
      <c r="K42" s="1494"/>
      <c r="L42" s="1493"/>
      <c r="M42" s="1493"/>
      <c r="N42" s="1493"/>
      <c r="O42" s="1493"/>
      <c r="P42" s="1493"/>
      <c r="Q42" s="1493"/>
      <c r="R42" s="1498"/>
      <c r="S42" s="1493"/>
      <c r="T42" s="1493"/>
      <c r="U42" s="1493"/>
      <c r="V42" s="1493"/>
      <c r="W42" s="1493"/>
      <c r="X42" s="1493"/>
      <c r="Y42" s="1498"/>
      <c r="Z42" s="1493"/>
      <c r="AA42" s="1493"/>
      <c r="AB42" s="1493"/>
      <c r="AC42" s="1493"/>
      <c r="AD42" s="1493"/>
      <c r="AE42" s="1493"/>
      <c r="AF42" s="1496"/>
      <c r="AG42" s="1494"/>
      <c r="AH42" s="1496"/>
    </row>
    <row r="43" spans="1:34" ht="15" customHeight="1">
      <c r="A43" s="1490"/>
      <c r="B43" s="1491" t="s">
        <v>142</v>
      </c>
      <c r="C43" s="1492" t="s">
        <v>143</v>
      </c>
      <c r="D43" s="1493"/>
      <c r="E43" s="1493"/>
      <c r="F43" s="1493"/>
      <c r="G43" s="1493"/>
      <c r="H43" s="1493"/>
      <c r="I43" s="1493"/>
      <c r="J43" s="1498"/>
      <c r="K43" s="1494"/>
      <c r="L43" s="1493"/>
      <c r="M43" s="1493"/>
      <c r="N43" s="1493"/>
      <c r="O43" s="1493"/>
      <c r="P43" s="1493"/>
      <c r="Q43" s="1493"/>
      <c r="R43" s="1498"/>
      <c r="S43" s="1493"/>
      <c r="T43" s="1493"/>
      <c r="U43" s="1493"/>
      <c r="V43" s="1493"/>
      <c r="W43" s="1493"/>
      <c r="X43" s="1493"/>
      <c r="Y43" s="1498"/>
      <c r="Z43" s="1493"/>
      <c r="AA43" s="1493"/>
      <c r="AB43" s="1493"/>
      <c r="AC43" s="1493"/>
      <c r="AD43" s="1493"/>
      <c r="AE43" s="1493"/>
      <c r="AF43" s="1496"/>
      <c r="AG43" s="1494"/>
      <c r="AH43" s="1496"/>
    </row>
    <row r="44" spans="1:34" ht="23.25" thickBot="1">
      <c r="A44" s="1490"/>
      <c r="B44" s="1491" t="s">
        <v>144</v>
      </c>
      <c r="C44" s="1492" t="s">
        <v>145</v>
      </c>
      <c r="D44" s="1493"/>
      <c r="E44" s="1493"/>
      <c r="F44" s="1493"/>
      <c r="G44" s="1493"/>
      <c r="H44" s="1493"/>
      <c r="I44" s="1493"/>
      <c r="J44" s="1498"/>
      <c r="K44" s="1494"/>
      <c r="L44" s="1493"/>
      <c r="M44" s="1493"/>
      <c r="N44" s="1493"/>
      <c r="O44" s="1493"/>
      <c r="P44" s="1493"/>
      <c r="Q44" s="1493"/>
      <c r="R44" s="1498"/>
      <c r="S44" s="1493"/>
      <c r="T44" s="1493"/>
      <c r="U44" s="1493"/>
      <c r="V44" s="1493"/>
      <c r="W44" s="1493"/>
      <c r="X44" s="1493"/>
      <c r="Y44" s="1498"/>
      <c r="Z44" s="1493"/>
      <c r="AA44" s="1493"/>
      <c r="AB44" s="1493"/>
      <c r="AC44" s="1493"/>
      <c r="AD44" s="1493"/>
      <c r="AE44" s="1493"/>
      <c r="AF44" s="1496"/>
      <c r="AG44" s="1494"/>
      <c r="AH44" s="1496"/>
    </row>
    <row r="45" spans="1:34" ht="15" customHeight="1" hidden="1" thickBot="1">
      <c r="A45" s="1402" t="s">
        <v>9</v>
      </c>
      <c r="B45" s="1478"/>
      <c r="C45" s="1499" t="s">
        <v>146</v>
      </c>
      <c r="D45" s="1423"/>
      <c r="E45" s="1423"/>
      <c r="F45" s="1423"/>
      <c r="G45" s="1423"/>
      <c r="H45" s="1423"/>
      <c r="I45" s="1423"/>
      <c r="J45" s="1500"/>
      <c r="K45" s="1501"/>
      <c r="L45" s="1423"/>
      <c r="M45" s="1423"/>
      <c r="N45" s="1423"/>
      <c r="O45" s="1423"/>
      <c r="P45" s="1423"/>
      <c r="Q45" s="1423"/>
      <c r="R45" s="1500"/>
      <c r="S45" s="1423"/>
      <c r="T45" s="1423"/>
      <c r="U45" s="1423"/>
      <c r="V45" s="1423"/>
      <c r="W45" s="1423"/>
      <c r="X45" s="1423"/>
      <c r="Y45" s="1500"/>
      <c r="Z45" s="1423"/>
      <c r="AA45" s="1423"/>
      <c r="AB45" s="1423"/>
      <c r="AC45" s="1423"/>
      <c r="AD45" s="1423"/>
      <c r="AE45" s="1423"/>
      <c r="AF45" s="1421"/>
      <c r="AG45" s="1501"/>
      <c r="AH45" s="1421"/>
    </row>
    <row r="46" spans="1:34" ht="14.25" customHeight="1" hidden="1" thickBot="1">
      <c r="A46" s="1452" t="s">
        <v>10</v>
      </c>
      <c r="B46" s="1453"/>
      <c r="C46" s="1502" t="s">
        <v>147</v>
      </c>
      <c r="D46" s="1423"/>
      <c r="E46" s="1423"/>
      <c r="F46" s="1423"/>
      <c r="G46" s="1423"/>
      <c r="H46" s="1423"/>
      <c r="I46" s="1423"/>
      <c r="J46" s="1500"/>
      <c r="K46" s="1501"/>
      <c r="L46" s="1423"/>
      <c r="M46" s="1423"/>
      <c r="N46" s="1423"/>
      <c r="O46" s="1423"/>
      <c r="P46" s="1423"/>
      <c r="Q46" s="1423"/>
      <c r="R46" s="1500"/>
      <c r="S46" s="1423"/>
      <c r="T46" s="1423"/>
      <c r="U46" s="1423"/>
      <c r="V46" s="1423"/>
      <c r="W46" s="1423"/>
      <c r="X46" s="1423"/>
      <c r="Y46" s="1500"/>
      <c r="Z46" s="1423"/>
      <c r="AA46" s="1423"/>
      <c r="AB46" s="1423"/>
      <c r="AC46" s="1423"/>
      <c r="AD46" s="1423"/>
      <c r="AE46" s="1423"/>
      <c r="AF46" s="1421"/>
      <c r="AG46" s="1501"/>
      <c r="AH46" s="1421"/>
    </row>
    <row r="47" spans="1:34" ht="13.5" thickBot="1">
      <c r="A47" s="1402" t="s">
        <v>9</v>
      </c>
      <c r="B47" s="1503"/>
      <c r="C47" s="1504" t="s">
        <v>273</v>
      </c>
      <c r="D47" s="1475">
        <f aca="true" t="shared" si="25" ref="D47:I47">D34+D40+D45+D46</f>
        <v>107901962</v>
      </c>
      <c r="E47" s="1475">
        <f t="shared" si="25"/>
        <v>107901962</v>
      </c>
      <c r="F47" s="1475">
        <f t="shared" si="25"/>
        <v>110884374</v>
      </c>
      <c r="G47" s="1475">
        <f t="shared" si="25"/>
        <v>110913430</v>
      </c>
      <c r="H47" s="1475">
        <f t="shared" si="25"/>
        <v>109703274</v>
      </c>
      <c r="I47" s="1475">
        <f t="shared" si="25"/>
        <v>107622437</v>
      </c>
      <c r="J47" s="1505">
        <f>I47/H47</f>
        <v>0.9810321340090543</v>
      </c>
      <c r="K47" s="1477">
        <f aca="true" t="shared" si="26" ref="K47:Q47">K34+K40+K45+K46</f>
        <v>0</v>
      </c>
      <c r="L47" s="1475">
        <f t="shared" si="26"/>
        <v>99246062</v>
      </c>
      <c r="M47" s="1475">
        <f t="shared" si="26"/>
        <v>99246062</v>
      </c>
      <c r="N47" s="1475">
        <f t="shared" si="26"/>
        <v>102228474</v>
      </c>
      <c r="O47" s="1475">
        <f t="shared" si="26"/>
        <v>102257530</v>
      </c>
      <c r="P47" s="1475">
        <f t="shared" si="26"/>
        <v>102861622</v>
      </c>
      <c r="Q47" s="1475">
        <f t="shared" si="26"/>
        <v>100780785</v>
      </c>
      <c r="R47" s="1505">
        <f>Q47/P47</f>
        <v>0.9797705212153859</v>
      </c>
      <c r="S47" s="1475">
        <f>S34+S40+S45+S46</f>
        <v>8655900</v>
      </c>
      <c r="T47" s="1475">
        <f aca="true" t="shared" si="27" ref="T47:AE47">T34+T40+T45+T46</f>
        <v>8655900</v>
      </c>
      <c r="U47" s="1475">
        <f t="shared" si="27"/>
        <v>8655900</v>
      </c>
      <c r="V47" s="1475">
        <f t="shared" si="27"/>
        <v>8655900</v>
      </c>
      <c r="W47" s="1475">
        <f t="shared" si="27"/>
        <v>6841652</v>
      </c>
      <c r="X47" s="1475">
        <f>X34+X40+X45+X46</f>
        <v>6841652</v>
      </c>
      <c r="Y47" s="1505">
        <f>X47/W47</f>
        <v>1</v>
      </c>
      <c r="Z47" s="1475">
        <f t="shared" si="27"/>
        <v>6843890</v>
      </c>
      <c r="AA47" s="1475">
        <f t="shared" si="27"/>
        <v>6843890</v>
      </c>
      <c r="AB47" s="1475">
        <f t="shared" si="27"/>
        <v>6843890</v>
      </c>
      <c r="AC47" s="1475">
        <f t="shared" si="27"/>
        <v>6843890</v>
      </c>
      <c r="AD47" s="1475">
        <f t="shared" si="27"/>
        <v>6843890</v>
      </c>
      <c r="AE47" s="1475">
        <f t="shared" si="27"/>
        <v>6035702</v>
      </c>
      <c r="AF47" s="1311">
        <f>AE47/AD47</f>
        <v>0.8819110184412666</v>
      </c>
      <c r="AG47" s="1506">
        <f>AF47/AD47</f>
        <v>1.2886107439501025E-07</v>
      </c>
      <c r="AH47" s="1460">
        <f>AH34+AH40+AH45+AH46</f>
        <v>0</v>
      </c>
    </row>
    <row r="48" spans="4:34" ht="13.5" thickBot="1">
      <c r="D48" s="1508"/>
      <c r="E48" s="1508"/>
      <c r="F48" s="1508"/>
      <c r="G48" s="1508"/>
      <c r="H48" s="1508"/>
      <c r="I48" s="1508"/>
      <c r="J48" s="1509"/>
      <c r="K48" s="1510"/>
      <c r="L48" s="1508"/>
      <c r="M48" s="1508"/>
      <c r="N48" s="1508"/>
      <c r="O48" s="1508"/>
      <c r="P48" s="1508"/>
      <c r="Q48" s="1508"/>
      <c r="R48" s="1509"/>
      <c r="S48" s="1508"/>
      <c r="T48" s="1508"/>
      <c r="U48" s="1508"/>
      <c r="V48" s="1508"/>
      <c r="W48" s="1508"/>
      <c r="X48" s="1508"/>
      <c r="Y48" s="1509"/>
      <c r="Z48" s="1508"/>
      <c r="AA48" s="1508"/>
      <c r="AB48" s="1508"/>
      <c r="AC48" s="1508"/>
      <c r="AD48" s="1508"/>
      <c r="AE48" s="1508"/>
      <c r="AF48" s="1511"/>
      <c r="AH48" s="1511"/>
    </row>
    <row r="49" spans="1:34" ht="13.5" thickBot="1">
      <c r="A49" s="1512" t="s">
        <v>149</v>
      </c>
      <c r="B49" s="1513"/>
      <c r="C49" s="1514"/>
      <c r="D49" s="788">
        <v>17</v>
      </c>
      <c r="E49" s="788">
        <v>18</v>
      </c>
      <c r="F49" s="788">
        <v>18</v>
      </c>
      <c r="G49" s="788">
        <v>18</v>
      </c>
      <c r="H49" s="788">
        <v>17</v>
      </c>
      <c r="I49" s="788">
        <v>17</v>
      </c>
      <c r="J49" s="1497">
        <f>I49/H49</f>
        <v>1</v>
      </c>
      <c r="K49" s="789"/>
      <c r="L49" s="788">
        <v>17</v>
      </c>
      <c r="M49" s="788">
        <v>18</v>
      </c>
      <c r="N49" s="788">
        <v>18</v>
      </c>
      <c r="O49" s="788">
        <v>18</v>
      </c>
      <c r="P49" s="788">
        <v>17</v>
      </c>
      <c r="Q49" s="788">
        <v>17</v>
      </c>
      <c r="R49" s="1497">
        <f>Q49/P49</f>
        <v>1</v>
      </c>
      <c r="S49" s="788">
        <v>0</v>
      </c>
      <c r="T49" s="788">
        <v>0</v>
      </c>
      <c r="U49" s="788">
        <v>0</v>
      </c>
      <c r="V49" s="788">
        <v>0</v>
      </c>
      <c r="W49" s="788">
        <v>0</v>
      </c>
      <c r="X49" s="788">
        <v>0</v>
      </c>
      <c r="Y49" s="1497"/>
      <c r="Z49" s="788">
        <v>0</v>
      </c>
      <c r="AA49" s="788">
        <v>0</v>
      </c>
      <c r="AB49" s="788">
        <v>0</v>
      </c>
      <c r="AC49" s="788">
        <v>0</v>
      </c>
      <c r="AD49" s="788">
        <v>0</v>
      </c>
      <c r="AE49" s="788">
        <v>0</v>
      </c>
      <c r="AF49" s="1311"/>
      <c r="AG49" s="789"/>
      <c r="AH49" s="1515"/>
    </row>
    <row r="50" spans="1:34" ht="13.5" thickBot="1">
      <c r="A50" s="1512" t="s">
        <v>150</v>
      </c>
      <c r="B50" s="1513"/>
      <c r="C50" s="1514"/>
      <c r="D50" s="788">
        <v>0</v>
      </c>
      <c r="E50" s="788">
        <v>0</v>
      </c>
      <c r="F50" s="788">
        <v>0</v>
      </c>
      <c r="G50" s="788">
        <v>0</v>
      </c>
      <c r="H50" s="788">
        <v>0</v>
      </c>
      <c r="I50" s="788">
        <v>0</v>
      </c>
      <c r="J50" s="1497"/>
      <c r="K50" s="789"/>
      <c r="L50" s="788">
        <v>0</v>
      </c>
      <c r="M50" s="788">
        <v>0</v>
      </c>
      <c r="N50" s="788">
        <v>0</v>
      </c>
      <c r="O50" s="788">
        <v>0</v>
      </c>
      <c r="P50" s="788">
        <v>0</v>
      </c>
      <c r="Q50" s="788">
        <v>0</v>
      </c>
      <c r="R50" s="1497"/>
      <c r="S50" s="788">
        <v>0</v>
      </c>
      <c r="T50" s="788">
        <v>0</v>
      </c>
      <c r="U50" s="788">
        <v>0</v>
      </c>
      <c r="V50" s="788">
        <v>0</v>
      </c>
      <c r="W50" s="788">
        <v>0</v>
      </c>
      <c r="X50" s="788">
        <v>0</v>
      </c>
      <c r="Y50" s="1497"/>
      <c r="Z50" s="788">
        <v>0</v>
      </c>
      <c r="AA50" s="788">
        <v>0</v>
      </c>
      <c r="AB50" s="788">
        <v>0</v>
      </c>
      <c r="AC50" s="788">
        <v>0</v>
      </c>
      <c r="AD50" s="788">
        <v>0</v>
      </c>
      <c r="AE50" s="788">
        <v>0</v>
      </c>
      <c r="AF50" s="1515"/>
      <c r="AG50" s="789"/>
      <c r="AH50" s="1515"/>
    </row>
    <row r="51" spans="6:25" ht="7.5" customHeight="1">
      <c r="F51" s="1516"/>
      <c r="G51" s="1516"/>
      <c r="H51" s="1516"/>
      <c r="I51" s="1516"/>
      <c r="J51" s="1516"/>
      <c r="K51" s="1516"/>
      <c r="N51" s="1516"/>
      <c r="O51" s="1516"/>
      <c r="P51" s="1516"/>
      <c r="Q51" s="1516"/>
      <c r="R51" s="1516"/>
      <c r="S51" s="1516"/>
      <c r="T51" s="1516"/>
      <c r="U51" s="1516"/>
      <c r="V51" s="1516"/>
      <c r="W51" s="1516"/>
      <c r="X51" s="1516"/>
      <c r="Y51" s="1516"/>
    </row>
    <row r="52" spans="1:25" ht="12.75" hidden="1">
      <c r="A52" s="1603" t="s">
        <v>210</v>
      </c>
      <c r="B52" s="1603"/>
      <c r="C52" s="1603"/>
      <c r="F52" s="1516"/>
      <c r="J52" s="1324">
        <v>100213</v>
      </c>
      <c r="N52" s="1516"/>
      <c r="O52" s="1516"/>
      <c r="P52" s="1516"/>
      <c r="Q52" s="1516"/>
      <c r="R52" s="1516"/>
      <c r="S52" s="1516"/>
      <c r="T52" s="1516"/>
      <c r="U52" s="1516"/>
      <c r="V52" s="1516"/>
      <c r="W52" s="1516"/>
      <c r="X52" s="1516"/>
      <c r="Y52" s="1516"/>
    </row>
    <row r="53" spans="4:11" ht="12.75">
      <c r="D53" s="1516">
        <v>0</v>
      </c>
      <c r="E53" s="1516"/>
      <c r="F53" s="1516"/>
      <c r="G53" s="1516"/>
      <c r="H53" s="1516"/>
      <c r="I53" s="1516"/>
      <c r="J53" s="1516"/>
      <c r="K53" s="1516"/>
    </row>
  </sheetData>
  <sheetProtection/>
  <mergeCells count="9">
    <mergeCell ref="AG5:AH5"/>
    <mergeCell ref="C1:AD1"/>
    <mergeCell ref="A5:B5"/>
    <mergeCell ref="A3:Z3"/>
    <mergeCell ref="A52:C52"/>
    <mergeCell ref="D5:K5"/>
    <mergeCell ref="L5:R5"/>
    <mergeCell ref="S5:Y5"/>
    <mergeCell ref="Z5:A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  <colBreaks count="1" manualBreakCount="1">
    <brk id="32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view="pageBreakPreview" zoomScale="60" workbookViewId="0" topLeftCell="A1">
      <selection activeCell="I53" sqref="I53:Q53"/>
    </sheetView>
  </sheetViews>
  <sheetFormatPr defaultColWidth="9.140625" defaultRowHeight="12.75"/>
  <cols>
    <col min="1" max="1" width="8.28125" style="241" customWidth="1"/>
    <col min="2" max="2" width="8.28125" style="238" customWidth="1"/>
    <col min="3" max="3" width="52.00390625" style="238" customWidth="1"/>
    <col min="4" max="4" width="13.28125" style="238" customWidth="1"/>
    <col min="5" max="5" width="11.28125" style="238" hidden="1" customWidth="1"/>
    <col min="6" max="6" width="11.00390625" style="238" hidden="1" customWidth="1"/>
    <col min="7" max="7" width="12.140625" style="238" hidden="1" customWidth="1"/>
    <col min="8" max="8" width="12.28125" style="238" customWidth="1"/>
    <col min="9" max="9" width="13.00390625" style="238" customWidth="1"/>
    <col min="10" max="10" width="15.8515625" style="238" bestFit="1" customWidth="1"/>
    <col min="11" max="11" width="9.7109375" style="238" hidden="1" customWidth="1"/>
    <col min="12" max="12" width="13.7109375" style="238" customWidth="1"/>
    <col min="13" max="13" width="11.28125" style="238" hidden="1" customWidth="1"/>
    <col min="14" max="14" width="14.00390625" style="238" hidden="1" customWidth="1"/>
    <col min="15" max="15" width="11.28125" style="238" hidden="1" customWidth="1"/>
    <col min="16" max="16" width="12.28125" style="238" customWidth="1"/>
    <col min="17" max="17" width="13.00390625" style="238" customWidth="1"/>
    <col min="18" max="18" width="8.421875" style="238" customWidth="1"/>
    <col min="19" max="19" width="13.57421875" style="238" bestFit="1" customWidth="1"/>
    <col min="20" max="20" width="11.7109375" style="238" hidden="1" customWidth="1"/>
    <col min="21" max="21" width="7.140625" style="238" hidden="1" customWidth="1"/>
    <col min="22" max="22" width="8.57421875" style="238" customWidth="1"/>
    <col min="23" max="23" width="13.28125" style="238" customWidth="1"/>
    <col min="24" max="16384" width="9.140625" style="238" customWidth="1"/>
  </cols>
  <sheetData>
    <row r="1" spans="1:22" s="97" customFormat="1" ht="21" customHeight="1">
      <c r="A1" s="96"/>
      <c r="C1" s="98"/>
      <c r="D1" s="99"/>
      <c r="E1" s="99"/>
      <c r="F1" s="99"/>
      <c r="G1" s="99"/>
      <c r="H1" s="99"/>
      <c r="I1" s="99"/>
      <c r="J1" s="99"/>
      <c r="K1" s="99"/>
      <c r="L1" s="1607" t="s">
        <v>589</v>
      </c>
      <c r="M1" s="1607"/>
      <c r="N1" s="1607"/>
      <c r="O1" s="1607"/>
      <c r="P1" s="1607"/>
      <c r="Q1" s="1607"/>
      <c r="R1" s="1607"/>
      <c r="S1" s="1607"/>
      <c r="T1" s="1607"/>
      <c r="U1" s="1607"/>
      <c r="V1" s="1607"/>
    </row>
    <row r="2" spans="1:11" s="97" customFormat="1" ht="21" customHeight="1">
      <c r="A2" s="96"/>
      <c r="C2" s="101"/>
      <c r="D2" s="100"/>
      <c r="E2" s="100"/>
      <c r="F2" s="100"/>
      <c r="G2" s="100"/>
      <c r="H2" s="100"/>
      <c r="I2" s="100"/>
      <c r="J2" s="100"/>
      <c r="K2" s="100"/>
    </row>
    <row r="3" spans="1:19" s="102" customFormat="1" ht="25.5" customHeight="1">
      <c r="A3" s="1610" t="s">
        <v>214</v>
      </c>
      <c r="B3" s="1610"/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1610"/>
    </row>
    <row r="4" spans="1:19" s="105" customFormat="1" ht="15.75" customHeight="1" thickBot="1">
      <c r="A4" s="103"/>
      <c r="B4" s="103"/>
      <c r="C4" s="103"/>
      <c r="S4" s="104" t="s">
        <v>432</v>
      </c>
    </row>
    <row r="5" spans="1:23" s="105" customFormat="1" ht="41.25" customHeight="1" thickBot="1">
      <c r="A5" s="103"/>
      <c r="B5" s="103"/>
      <c r="C5" s="103"/>
      <c r="D5" s="1608" t="s">
        <v>4</v>
      </c>
      <c r="E5" s="1609"/>
      <c r="F5" s="1609"/>
      <c r="G5" s="1609"/>
      <c r="H5" s="1609"/>
      <c r="I5" s="1609"/>
      <c r="J5" s="1609"/>
      <c r="K5" s="1614"/>
      <c r="L5" s="1608" t="s">
        <v>104</v>
      </c>
      <c r="M5" s="1609"/>
      <c r="N5" s="1609"/>
      <c r="O5" s="1609"/>
      <c r="P5" s="1609"/>
      <c r="Q5" s="1609"/>
      <c r="R5" s="1614"/>
      <c r="S5" s="1608" t="s">
        <v>152</v>
      </c>
      <c r="T5" s="1609"/>
      <c r="U5" s="1609"/>
      <c r="V5" s="1609"/>
      <c r="W5" s="1609"/>
    </row>
    <row r="6" spans="1:23" ht="13.5" thickBot="1">
      <c r="A6" s="1612" t="s">
        <v>106</v>
      </c>
      <c r="B6" s="1613"/>
      <c r="C6" s="370" t="s">
        <v>107</v>
      </c>
      <c r="D6" s="366" t="s">
        <v>64</v>
      </c>
      <c r="E6" s="106" t="s">
        <v>225</v>
      </c>
      <c r="F6" s="106" t="s">
        <v>228</v>
      </c>
      <c r="G6" s="106" t="s">
        <v>230</v>
      </c>
      <c r="H6" s="370" t="s">
        <v>242</v>
      </c>
      <c r="I6" s="370" t="s">
        <v>233</v>
      </c>
      <c r="J6" s="338" t="s">
        <v>234</v>
      </c>
      <c r="K6" s="337" t="s">
        <v>246</v>
      </c>
      <c r="L6" s="366" t="s">
        <v>64</v>
      </c>
      <c r="M6" s="106" t="s">
        <v>225</v>
      </c>
      <c r="N6" s="106" t="s">
        <v>228</v>
      </c>
      <c r="O6" s="106" t="s">
        <v>230</v>
      </c>
      <c r="P6" s="370" t="s">
        <v>242</v>
      </c>
      <c r="Q6" s="370" t="s">
        <v>233</v>
      </c>
      <c r="R6" s="338" t="s">
        <v>234</v>
      </c>
      <c r="S6" s="366" t="s">
        <v>64</v>
      </c>
      <c r="T6" s="106" t="s">
        <v>225</v>
      </c>
      <c r="U6" s="106" t="s">
        <v>228</v>
      </c>
      <c r="V6" s="106" t="s">
        <v>230</v>
      </c>
      <c r="W6" s="370" t="s">
        <v>233</v>
      </c>
    </row>
    <row r="7" spans="1:23" s="110" customFormat="1" ht="12.75" customHeight="1" thickBot="1">
      <c r="A7" s="107">
        <v>1</v>
      </c>
      <c r="B7" s="108">
        <v>2</v>
      </c>
      <c r="C7" s="231">
        <v>3</v>
      </c>
      <c r="D7" s="107">
        <v>4</v>
      </c>
      <c r="E7" s="108">
        <v>5</v>
      </c>
      <c r="F7" s="108">
        <v>6</v>
      </c>
      <c r="G7" s="108">
        <v>7</v>
      </c>
      <c r="H7" s="231">
        <v>5</v>
      </c>
      <c r="I7" s="231">
        <v>6</v>
      </c>
      <c r="J7" s="109">
        <v>7</v>
      </c>
      <c r="K7" s="706">
        <v>9</v>
      </c>
      <c r="L7" s="107">
        <v>8</v>
      </c>
      <c r="M7" s="108">
        <v>10</v>
      </c>
      <c r="N7" s="108">
        <v>11</v>
      </c>
      <c r="O7" s="108">
        <v>12</v>
      </c>
      <c r="P7" s="231">
        <v>9</v>
      </c>
      <c r="Q7" s="109">
        <v>10</v>
      </c>
      <c r="R7" s="377">
        <v>11</v>
      </c>
      <c r="S7" s="107">
        <v>12</v>
      </c>
      <c r="T7" s="108">
        <v>15</v>
      </c>
      <c r="U7" s="109">
        <v>16</v>
      </c>
      <c r="V7" s="109">
        <v>13</v>
      </c>
      <c r="W7" s="109">
        <v>14</v>
      </c>
    </row>
    <row r="8" spans="1:23" s="110" customFormat="1" ht="15.75" customHeight="1" thickBot="1">
      <c r="A8" s="111"/>
      <c r="B8" s="112"/>
      <c r="C8" s="112" t="s">
        <v>108</v>
      </c>
      <c r="D8" s="344"/>
      <c r="E8" s="344"/>
      <c r="F8" s="382"/>
      <c r="G8" s="382"/>
      <c r="H8" s="608"/>
      <c r="I8" s="608"/>
      <c r="J8" s="568"/>
      <c r="K8" s="562"/>
      <c r="L8" s="344"/>
      <c r="M8" s="344"/>
      <c r="N8" s="211"/>
      <c r="O8" s="211"/>
      <c r="P8" s="609"/>
      <c r="Q8" s="212"/>
      <c r="R8" s="378"/>
      <c r="S8" s="384"/>
      <c r="T8" s="211"/>
      <c r="U8" s="212"/>
      <c r="V8" s="212"/>
      <c r="W8" s="212"/>
    </row>
    <row r="9" spans="1:23" s="115" customFormat="1" ht="12" customHeight="1" thickBot="1">
      <c r="A9" s="107" t="s">
        <v>26</v>
      </c>
      <c r="B9" s="113"/>
      <c r="C9" s="371" t="s">
        <v>332</v>
      </c>
      <c r="D9" s="345">
        <f aca="true" t="shared" si="0" ref="D9:I9">SUM(D10:D17)</f>
        <v>33323394</v>
      </c>
      <c r="E9" s="345">
        <f t="shared" si="0"/>
        <v>33368496</v>
      </c>
      <c r="F9" s="345">
        <f t="shared" si="0"/>
        <v>33480852</v>
      </c>
      <c r="G9" s="345">
        <f t="shared" si="0"/>
        <v>33519116</v>
      </c>
      <c r="H9" s="345">
        <f t="shared" si="0"/>
        <v>35539520</v>
      </c>
      <c r="I9" s="345">
        <f t="shared" si="0"/>
        <v>35464020</v>
      </c>
      <c r="J9" s="289">
        <f>+I9/H9</f>
        <v>0.9978756043975833</v>
      </c>
      <c r="K9" s="213"/>
      <c r="L9" s="345">
        <f aca="true" t="shared" si="1" ref="L9:Q9">SUM(L10:L17)</f>
        <v>33323394</v>
      </c>
      <c r="M9" s="345">
        <f t="shared" si="1"/>
        <v>33368496</v>
      </c>
      <c r="N9" s="345">
        <f t="shared" si="1"/>
        <v>33480852</v>
      </c>
      <c r="O9" s="345">
        <f t="shared" si="1"/>
        <v>33519116</v>
      </c>
      <c r="P9" s="345">
        <f t="shared" si="1"/>
        <v>35539520</v>
      </c>
      <c r="Q9" s="345">
        <f t="shared" si="1"/>
        <v>35464020</v>
      </c>
      <c r="R9" s="289">
        <f>+Q9/P9</f>
        <v>0.9978756043975833</v>
      </c>
      <c r="S9" s="345"/>
      <c r="T9" s="160"/>
      <c r="U9" s="114"/>
      <c r="V9" s="114"/>
      <c r="W9" s="114"/>
    </row>
    <row r="10" spans="1:23" s="115" customFormat="1" ht="12" customHeight="1">
      <c r="A10" s="116"/>
      <c r="B10" s="124" t="s">
        <v>35</v>
      </c>
      <c r="C10" s="651" t="s">
        <v>450</v>
      </c>
      <c r="D10" s="654">
        <v>17078500</v>
      </c>
      <c r="E10" s="654">
        <v>17078500</v>
      </c>
      <c r="F10" s="654">
        <v>17078500</v>
      </c>
      <c r="G10" s="654">
        <v>17078500</v>
      </c>
      <c r="H10" s="654">
        <v>18086381</v>
      </c>
      <c r="I10" s="654">
        <f>16793911+1281525</f>
        <v>18075436</v>
      </c>
      <c r="J10" s="631">
        <f>+I10/H10</f>
        <v>0.9993948485327164</v>
      </c>
      <c r="K10" s="643"/>
      <c r="L10" s="654">
        <v>17078500</v>
      </c>
      <c r="M10" s="654">
        <v>17078500</v>
      </c>
      <c r="N10" s="654">
        <v>17078500</v>
      </c>
      <c r="O10" s="654">
        <v>17078500</v>
      </c>
      <c r="P10" s="654">
        <v>18086381</v>
      </c>
      <c r="Q10" s="654">
        <f>16793911+1281525</f>
        <v>18075436</v>
      </c>
      <c r="R10" s="631">
        <f>+Q10/P10</f>
        <v>0.9993948485327164</v>
      </c>
      <c r="S10" s="633"/>
      <c r="T10" s="630"/>
      <c r="U10" s="632"/>
      <c r="V10" s="632"/>
      <c r="W10" s="632"/>
    </row>
    <row r="11" spans="1:23" s="115" customFormat="1" ht="12" customHeight="1">
      <c r="A11" s="118"/>
      <c r="B11" s="117" t="s">
        <v>36</v>
      </c>
      <c r="C11" s="652" t="s">
        <v>330</v>
      </c>
      <c r="D11" s="655">
        <v>3200000</v>
      </c>
      <c r="E11" s="655">
        <v>3200000</v>
      </c>
      <c r="F11" s="655">
        <v>3200000</v>
      </c>
      <c r="G11" s="655">
        <v>3200000</v>
      </c>
      <c r="H11" s="655">
        <v>4006497</v>
      </c>
      <c r="I11" s="655">
        <f>210427+3796070</f>
        <v>4006497</v>
      </c>
      <c r="J11" s="635">
        <f>+I11/H11</f>
        <v>1</v>
      </c>
      <c r="K11" s="644"/>
      <c r="L11" s="655">
        <v>3200000</v>
      </c>
      <c r="M11" s="655">
        <v>3200000</v>
      </c>
      <c r="N11" s="655">
        <v>3200000</v>
      </c>
      <c r="O11" s="655">
        <v>3200000</v>
      </c>
      <c r="P11" s="655">
        <v>4006497</v>
      </c>
      <c r="Q11" s="655">
        <f>210427+3796070</f>
        <v>4006497</v>
      </c>
      <c r="R11" s="635">
        <f>+Q11/P11</f>
        <v>1</v>
      </c>
      <c r="S11" s="637"/>
      <c r="T11" s="634"/>
      <c r="U11" s="636"/>
      <c r="V11" s="636"/>
      <c r="W11" s="636"/>
    </row>
    <row r="12" spans="1:23" s="115" customFormat="1" ht="12" customHeight="1">
      <c r="A12" s="118"/>
      <c r="B12" s="117" t="s">
        <v>37</v>
      </c>
      <c r="C12" s="652" t="s">
        <v>452</v>
      </c>
      <c r="D12" s="655"/>
      <c r="E12" s="655"/>
      <c r="F12" s="655"/>
      <c r="G12" s="655"/>
      <c r="H12" s="655"/>
      <c r="I12" s="655"/>
      <c r="J12" s="635"/>
      <c r="K12" s="644"/>
      <c r="L12" s="655"/>
      <c r="M12" s="655"/>
      <c r="N12" s="655"/>
      <c r="O12" s="655"/>
      <c r="P12" s="655"/>
      <c r="Q12" s="655"/>
      <c r="R12" s="635"/>
      <c r="S12" s="637"/>
      <c r="T12" s="634"/>
      <c r="U12" s="636"/>
      <c r="V12" s="636"/>
      <c r="W12" s="636"/>
    </row>
    <row r="13" spans="1:23" s="115" customFormat="1" ht="12" customHeight="1">
      <c r="A13" s="118"/>
      <c r="B13" s="117" t="s">
        <v>48</v>
      </c>
      <c r="C13" s="652" t="s">
        <v>453</v>
      </c>
      <c r="D13" s="655">
        <v>6595407</v>
      </c>
      <c r="E13" s="655">
        <v>6595407</v>
      </c>
      <c r="F13" s="655">
        <v>6595407</v>
      </c>
      <c r="G13" s="655">
        <v>6595407</v>
      </c>
      <c r="H13" s="655">
        <v>6162299</v>
      </c>
      <c r="I13" s="655">
        <v>6113794</v>
      </c>
      <c r="J13" s="635">
        <f>+I13/H13</f>
        <v>0.9921287493515002</v>
      </c>
      <c r="K13" s="644"/>
      <c r="L13" s="655">
        <v>6595407</v>
      </c>
      <c r="M13" s="655">
        <v>6595407</v>
      </c>
      <c r="N13" s="655">
        <v>6595407</v>
      </c>
      <c r="O13" s="655">
        <v>6595407</v>
      </c>
      <c r="P13" s="655">
        <v>6162299</v>
      </c>
      <c r="Q13" s="655">
        <v>6113794</v>
      </c>
      <c r="R13" s="635">
        <f>+Q13/P13</f>
        <v>0.9921287493515002</v>
      </c>
      <c r="S13" s="637"/>
      <c r="T13" s="634"/>
      <c r="U13" s="636"/>
      <c r="V13" s="636"/>
      <c r="W13" s="636"/>
    </row>
    <row r="14" spans="1:23" s="115" customFormat="1" ht="12" customHeight="1">
      <c r="A14" s="118"/>
      <c r="B14" s="117" t="s">
        <v>49</v>
      </c>
      <c r="C14" s="653" t="s">
        <v>454</v>
      </c>
      <c r="D14" s="656">
        <v>6449487</v>
      </c>
      <c r="E14" s="656">
        <v>6449487</v>
      </c>
      <c r="F14" s="656">
        <v>6449487</v>
      </c>
      <c r="G14" s="656">
        <v>6449487</v>
      </c>
      <c r="H14" s="656">
        <f>7048259+15050</f>
        <v>7063309</v>
      </c>
      <c r="I14" s="656">
        <v>7047259</v>
      </c>
      <c r="J14" s="640">
        <f>+I14/H14</f>
        <v>0.9977276939179639</v>
      </c>
      <c r="K14" s="650"/>
      <c r="L14" s="656">
        <v>6449487</v>
      </c>
      <c r="M14" s="656">
        <v>6449487</v>
      </c>
      <c r="N14" s="656">
        <v>6449487</v>
      </c>
      <c r="O14" s="656">
        <v>6449487</v>
      </c>
      <c r="P14" s="656">
        <f>7048259+15050</f>
        <v>7063309</v>
      </c>
      <c r="Q14" s="656">
        <v>7047259</v>
      </c>
      <c r="R14" s="640">
        <f>+Q14/P14</f>
        <v>0.9977276939179639</v>
      </c>
      <c r="S14" s="642"/>
      <c r="T14" s="639"/>
      <c r="U14" s="641"/>
      <c r="V14" s="641"/>
      <c r="W14" s="641"/>
    </row>
    <row r="15" spans="1:23" s="115" customFormat="1" ht="12" customHeight="1">
      <c r="A15" s="118"/>
      <c r="B15" s="117" t="s">
        <v>455</v>
      </c>
      <c r="C15" s="653" t="s">
        <v>307</v>
      </c>
      <c r="D15" s="642"/>
      <c r="E15" s="656">
        <v>20</v>
      </c>
      <c r="F15" s="656">
        <v>20</v>
      </c>
      <c r="G15" s="656">
        <v>20</v>
      </c>
      <c r="H15" s="656">
        <v>23</v>
      </c>
      <c r="I15" s="656">
        <v>23</v>
      </c>
      <c r="J15" s="640">
        <f>+I15/H15</f>
        <v>1</v>
      </c>
      <c r="K15" s="685"/>
      <c r="L15" s="642"/>
      <c r="M15" s="656">
        <v>20</v>
      </c>
      <c r="N15" s="656">
        <v>20</v>
      </c>
      <c r="O15" s="656">
        <v>20</v>
      </c>
      <c r="P15" s="656">
        <v>23</v>
      </c>
      <c r="Q15" s="656">
        <v>23</v>
      </c>
      <c r="R15" s="640">
        <f>+Q15/P15</f>
        <v>1</v>
      </c>
      <c r="S15" s="642"/>
      <c r="T15" s="639"/>
      <c r="U15" s="641"/>
      <c r="V15" s="641"/>
      <c r="W15" s="641"/>
    </row>
    <row r="16" spans="1:23" s="115" customFormat="1" ht="12" customHeight="1">
      <c r="A16" s="118"/>
      <c r="B16" s="117" t="s">
        <v>456</v>
      </c>
      <c r="C16" s="638" t="s">
        <v>451</v>
      </c>
      <c r="D16" s="642"/>
      <c r="E16" s="656">
        <v>45082</v>
      </c>
      <c r="F16" s="656">
        <v>157438</v>
      </c>
      <c r="G16" s="656">
        <v>195702</v>
      </c>
      <c r="H16" s="656">
        <v>221011</v>
      </c>
      <c r="I16" s="656">
        <f>110330+110681</f>
        <v>221011</v>
      </c>
      <c r="J16" s="640">
        <f>+I16/H16</f>
        <v>1</v>
      </c>
      <c r="K16" s="685"/>
      <c r="L16" s="642"/>
      <c r="M16" s="656">
        <v>45082</v>
      </c>
      <c r="N16" s="656">
        <v>157438</v>
      </c>
      <c r="O16" s="656">
        <v>195702</v>
      </c>
      <c r="P16" s="656">
        <v>221011</v>
      </c>
      <c r="Q16" s="656">
        <f>110330+110681</f>
        <v>221011</v>
      </c>
      <c r="R16" s="640">
        <f>+Q16/P16</f>
        <v>1</v>
      </c>
      <c r="S16" s="642"/>
      <c r="T16" s="639"/>
      <c r="U16" s="641"/>
      <c r="V16" s="641"/>
      <c r="W16" s="641"/>
    </row>
    <row r="17" spans="1:23" s="115" customFormat="1" ht="12" customHeight="1" thickBot="1">
      <c r="A17" s="657"/>
      <c r="B17" s="658"/>
      <c r="C17" s="645"/>
      <c r="D17" s="646"/>
      <c r="E17" s="646"/>
      <c r="F17" s="646"/>
      <c r="G17" s="646"/>
      <c r="H17" s="646"/>
      <c r="I17" s="646"/>
      <c r="J17" s="647"/>
      <c r="K17" s="687"/>
      <c r="L17" s="646"/>
      <c r="M17" s="646"/>
      <c r="N17" s="646"/>
      <c r="O17" s="646"/>
      <c r="P17" s="646"/>
      <c r="Q17" s="646"/>
      <c r="R17" s="647"/>
      <c r="S17" s="646"/>
      <c r="T17" s="648"/>
      <c r="U17" s="649"/>
      <c r="V17" s="649"/>
      <c r="W17" s="649"/>
    </row>
    <row r="18" spans="1:23" s="115" customFormat="1" ht="12" customHeight="1" thickBot="1">
      <c r="A18" s="107" t="s">
        <v>27</v>
      </c>
      <c r="B18" s="113"/>
      <c r="C18" s="371" t="s">
        <v>115</v>
      </c>
      <c r="D18" s="345">
        <f aca="true" t="shared" si="2" ref="D18:I18">D19+D21</f>
        <v>0</v>
      </c>
      <c r="E18" s="345">
        <f t="shared" si="2"/>
        <v>0</v>
      </c>
      <c r="F18" s="345">
        <f t="shared" si="2"/>
        <v>0</v>
      </c>
      <c r="G18" s="345">
        <f t="shared" si="2"/>
        <v>0</v>
      </c>
      <c r="H18" s="345">
        <f t="shared" si="2"/>
        <v>0</v>
      </c>
      <c r="I18" s="345">
        <f t="shared" si="2"/>
        <v>0</v>
      </c>
      <c r="J18" s="289"/>
      <c r="K18" s="213">
        <f aca="true" t="shared" si="3" ref="K18:Q18">K19+K21</f>
        <v>0</v>
      </c>
      <c r="L18" s="345">
        <f t="shared" si="3"/>
        <v>0</v>
      </c>
      <c r="M18" s="345">
        <f t="shared" si="3"/>
        <v>0</v>
      </c>
      <c r="N18" s="345">
        <f t="shared" si="3"/>
        <v>0</v>
      </c>
      <c r="O18" s="345">
        <f t="shared" si="3"/>
        <v>0</v>
      </c>
      <c r="P18" s="345">
        <f t="shared" si="3"/>
        <v>0</v>
      </c>
      <c r="Q18" s="345">
        <f t="shared" si="3"/>
        <v>0</v>
      </c>
      <c r="R18" s="289"/>
      <c r="S18" s="345"/>
      <c r="T18" s="160"/>
      <c r="U18" s="114"/>
      <c r="V18" s="114"/>
      <c r="W18" s="114"/>
    </row>
    <row r="19" spans="1:23" s="120" customFormat="1" ht="12" customHeight="1">
      <c r="A19" s="118"/>
      <c r="B19" s="117" t="s">
        <v>38</v>
      </c>
      <c r="C19" s="356" t="s">
        <v>71</v>
      </c>
      <c r="D19" s="346"/>
      <c r="E19" s="346"/>
      <c r="F19" s="346"/>
      <c r="G19" s="346"/>
      <c r="H19" s="346"/>
      <c r="I19" s="346"/>
      <c r="J19" s="552"/>
      <c r="K19" s="563"/>
      <c r="L19" s="346"/>
      <c r="M19" s="346"/>
      <c r="N19" s="346"/>
      <c r="O19" s="346"/>
      <c r="P19" s="346"/>
      <c r="Q19" s="346"/>
      <c r="R19" s="552"/>
      <c r="S19" s="346"/>
      <c r="T19" s="161"/>
      <c r="U19" s="119"/>
      <c r="V19" s="119"/>
      <c r="W19" s="119"/>
    </row>
    <row r="20" spans="1:23" s="120" customFormat="1" ht="12" customHeight="1">
      <c r="A20" s="118"/>
      <c r="B20" s="117" t="s">
        <v>39</v>
      </c>
      <c r="C20" s="357" t="s">
        <v>118</v>
      </c>
      <c r="D20" s="346"/>
      <c r="E20" s="346"/>
      <c r="F20" s="346"/>
      <c r="G20" s="346"/>
      <c r="H20" s="346"/>
      <c r="I20" s="346"/>
      <c r="J20" s="552"/>
      <c r="K20" s="563"/>
      <c r="L20" s="346"/>
      <c r="M20" s="346"/>
      <c r="N20" s="346"/>
      <c r="O20" s="346"/>
      <c r="P20" s="346"/>
      <c r="Q20" s="346"/>
      <c r="R20" s="552"/>
      <c r="S20" s="346"/>
      <c r="T20" s="161"/>
      <c r="U20" s="119"/>
      <c r="V20" s="119"/>
      <c r="W20" s="119"/>
    </row>
    <row r="21" spans="1:23" s="120" customFormat="1" ht="12" customHeight="1">
      <c r="A21" s="118"/>
      <c r="B21" s="117" t="s">
        <v>40</v>
      </c>
      <c r="C21" s="357" t="s">
        <v>72</v>
      </c>
      <c r="D21" s="346"/>
      <c r="E21" s="346"/>
      <c r="F21" s="346"/>
      <c r="G21" s="346"/>
      <c r="H21" s="346"/>
      <c r="I21" s="346"/>
      <c r="J21" s="552"/>
      <c r="K21" s="563"/>
      <c r="L21" s="346"/>
      <c r="M21" s="346"/>
      <c r="N21" s="346"/>
      <c r="O21" s="346"/>
      <c r="P21" s="346"/>
      <c r="Q21" s="346"/>
      <c r="R21" s="552"/>
      <c r="S21" s="346"/>
      <c r="T21" s="161"/>
      <c r="U21" s="119"/>
      <c r="V21" s="119"/>
      <c r="W21" s="119"/>
    </row>
    <row r="22" spans="1:23" s="120" customFormat="1" ht="12" customHeight="1" thickBot="1">
      <c r="A22" s="118"/>
      <c r="B22" s="117" t="s">
        <v>269</v>
      </c>
      <c r="C22" s="357" t="s">
        <v>118</v>
      </c>
      <c r="D22" s="346"/>
      <c r="E22" s="346"/>
      <c r="F22" s="346"/>
      <c r="G22" s="346"/>
      <c r="H22" s="346"/>
      <c r="I22" s="346"/>
      <c r="J22" s="552"/>
      <c r="K22" s="563"/>
      <c r="L22" s="346"/>
      <c r="M22" s="346"/>
      <c r="N22" s="346"/>
      <c r="O22" s="346"/>
      <c r="P22" s="346"/>
      <c r="Q22" s="346"/>
      <c r="R22" s="552"/>
      <c r="S22" s="346"/>
      <c r="T22" s="161"/>
      <c r="U22" s="119"/>
      <c r="V22" s="119"/>
      <c r="W22" s="119"/>
    </row>
    <row r="23" spans="1:23" s="120" customFormat="1" ht="12" customHeight="1" thickBot="1">
      <c r="A23" s="121" t="s">
        <v>9</v>
      </c>
      <c r="B23" s="122"/>
      <c r="C23" s="355" t="s">
        <v>121</v>
      </c>
      <c r="D23" s="345">
        <f aca="true" t="shared" si="4" ref="D23:I23">SUM(D24:D25)</f>
        <v>0</v>
      </c>
      <c r="E23" s="345">
        <f t="shared" si="4"/>
        <v>0</v>
      </c>
      <c r="F23" s="345">
        <f t="shared" si="4"/>
        <v>0</v>
      </c>
      <c r="G23" s="345">
        <f t="shared" si="4"/>
        <v>0</v>
      </c>
      <c r="H23" s="345">
        <f t="shared" si="4"/>
        <v>0</v>
      </c>
      <c r="I23" s="345">
        <f t="shared" si="4"/>
        <v>0</v>
      </c>
      <c r="J23" s="289"/>
      <c r="K23" s="213">
        <f aca="true" t="shared" si="5" ref="K23:Q23">SUM(K24:K25)</f>
        <v>0</v>
      </c>
      <c r="L23" s="345">
        <f t="shared" si="5"/>
        <v>0</v>
      </c>
      <c r="M23" s="345">
        <f t="shared" si="5"/>
        <v>0</v>
      </c>
      <c r="N23" s="345">
        <f t="shared" si="5"/>
        <v>0</v>
      </c>
      <c r="O23" s="345">
        <f t="shared" si="5"/>
        <v>0</v>
      </c>
      <c r="P23" s="345">
        <f t="shared" si="5"/>
        <v>0</v>
      </c>
      <c r="Q23" s="345">
        <f t="shared" si="5"/>
        <v>0</v>
      </c>
      <c r="R23" s="289"/>
      <c r="S23" s="345"/>
      <c r="T23" s="160"/>
      <c r="U23" s="114"/>
      <c r="V23" s="114"/>
      <c r="W23" s="114"/>
    </row>
    <row r="24" spans="1:23" s="115" customFormat="1" ht="12" customHeight="1">
      <c r="A24" s="123"/>
      <c r="B24" s="124" t="s">
        <v>41</v>
      </c>
      <c r="C24" s="372" t="s">
        <v>123</v>
      </c>
      <c r="D24" s="347"/>
      <c r="E24" s="347"/>
      <c r="F24" s="347"/>
      <c r="G24" s="347"/>
      <c r="H24" s="347"/>
      <c r="I24" s="347"/>
      <c r="J24" s="553"/>
      <c r="K24" s="564"/>
      <c r="L24" s="347"/>
      <c r="M24" s="347"/>
      <c r="N24" s="347"/>
      <c r="O24" s="347"/>
      <c r="P24" s="347"/>
      <c r="Q24" s="347"/>
      <c r="R24" s="553"/>
      <c r="S24" s="347"/>
      <c r="T24" s="162"/>
      <c r="U24" s="125"/>
      <c r="V24" s="125"/>
      <c r="W24" s="125"/>
    </row>
    <row r="25" spans="1:23" s="115" customFormat="1" ht="12" customHeight="1" thickBot="1">
      <c r="A25" s="126"/>
      <c r="B25" s="127" t="s">
        <v>42</v>
      </c>
      <c r="C25" s="373" t="s">
        <v>125</v>
      </c>
      <c r="D25" s="348"/>
      <c r="E25" s="348"/>
      <c r="F25" s="348"/>
      <c r="G25" s="348"/>
      <c r="H25" s="348"/>
      <c r="I25" s="348"/>
      <c r="J25" s="554"/>
      <c r="K25" s="565"/>
      <c r="L25" s="348"/>
      <c r="M25" s="348"/>
      <c r="N25" s="348"/>
      <c r="O25" s="348"/>
      <c r="P25" s="348"/>
      <c r="Q25" s="348"/>
      <c r="R25" s="554"/>
      <c r="S25" s="348"/>
      <c r="T25" s="163"/>
      <c r="U25" s="128"/>
      <c r="V25" s="128"/>
      <c r="W25" s="128"/>
    </row>
    <row r="26" spans="1:23" s="115" customFormat="1" ht="12" customHeight="1" thickBot="1">
      <c r="A26" s="121"/>
      <c r="B26" s="113"/>
      <c r="D26" s="349"/>
      <c r="E26" s="349"/>
      <c r="F26" s="349"/>
      <c r="G26" s="349"/>
      <c r="H26" s="349"/>
      <c r="I26" s="349"/>
      <c r="J26" s="555"/>
      <c r="K26" s="210"/>
      <c r="L26" s="349"/>
      <c r="M26" s="349"/>
      <c r="N26" s="349"/>
      <c r="O26" s="349"/>
      <c r="P26" s="349"/>
      <c r="Q26" s="349"/>
      <c r="R26" s="555"/>
      <c r="S26" s="349"/>
      <c r="T26" s="164"/>
      <c r="U26" s="129"/>
      <c r="V26" s="129"/>
      <c r="W26" s="129"/>
    </row>
    <row r="27" spans="1:23" s="115" customFormat="1" ht="12" customHeight="1" thickBot="1">
      <c r="A27" s="107" t="s">
        <v>10</v>
      </c>
      <c r="B27" s="130"/>
      <c r="C27" s="355" t="s">
        <v>270</v>
      </c>
      <c r="D27" s="345">
        <f aca="true" t="shared" si="6" ref="D27:I27">D9+D18+D23+D26</f>
        <v>33323394</v>
      </c>
      <c r="E27" s="345">
        <f t="shared" si="6"/>
        <v>33368496</v>
      </c>
      <c r="F27" s="345">
        <f t="shared" si="6"/>
        <v>33480852</v>
      </c>
      <c r="G27" s="345">
        <f t="shared" si="6"/>
        <v>33519116</v>
      </c>
      <c r="H27" s="345">
        <f t="shared" si="6"/>
        <v>35539520</v>
      </c>
      <c r="I27" s="345">
        <f t="shared" si="6"/>
        <v>35464020</v>
      </c>
      <c r="J27" s="289">
        <f>+I27/H27</f>
        <v>0.9978756043975833</v>
      </c>
      <c r="K27" s="213">
        <f aca="true" t="shared" si="7" ref="K27:Q27">K9+K18+K23+K26</f>
        <v>0</v>
      </c>
      <c r="L27" s="345">
        <f t="shared" si="7"/>
        <v>33323394</v>
      </c>
      <c r="M27" s="345">
        <f t="shared" si="7"/>
        <v>33368496</v>
      </c>
      <c r="N27" s="345">
        <f t="shared" si="7"/>
        <v>33480852</v>
      </c>
      <c r="O27" s="345">
        <f t="shared" si="7"/>
        <v>33519116</v>
      </c>
      <c r="P27" s="345">
        <f t="shared" si="7"/>
        <v>35539520</v>
      </c>
      <c r="Q27" s="345">
        <f t="shared" si="7"/>
        <v>35464020</v>
      </c>
      <c r="R27" s="289">
        <f>+Q27/P27</f>
        <v>0.9978756043975833</v>
      </c>
      <c r="S27" s="345"/>
      <c r="T27" s="160"/>
      <c r="U27" s="114"/>
      <c r="V27" s="114"/>
      <c r="W27" s="114"/>
    </row>
    <row r="28" spans="1:23" s="120" customFormat="1" ht="12" customHeight="1" thickBot="1">
      <c r="A28" s="131" t="s">
        <v>11</v>
      </c>
      <c r="B28" s="115"/>
      <c r="C28" s="374" t="s">
        <v>271</v>
      </c>
      <c r="D28" s="350">
        <f aca="true" t="shared" si="8" ref="D28:I28">SUM(D29:D31)</f>
        <v>132284161</v>
      </c>
      <c r="E28" s="350">
        <f t="shared" si="8"/>
        <v>137714474</v>
      </c>
      <c r="F28" s="350">
        <f t="shared" si="8"/>
        <v>137839474</v>
      </c>
      <c r="G28" s="350">
        <f t="shared" si="8"/>
        <v>138450474</v>
      </c>
      <c r="H28" s="350">
        <f t="shared" si="8"/>
        <v>132060762</v>
      </c>
      <c r="I28" s="350">
        <f t="shared" si="8"/>
        <v>132060762</v>
      </c>
      <c r="J28" s="289">
        <f>+I28/H28</f>
        <v>1</v>
      </c>
      <c r="K28" s="214">
        <f aca="true" t="shared" si="9" ref="K28:Q28">SUM(K29:K31)</f>
        <v>0</v>
      </c>
      <c r="L28" s="350">
        <f t="shared" si="9"/>
        <v>132284161</v>
      </c>
      <c r="M28" s="350">
        <f t="shared" si="9"/>
        <v>137714474</v>
      </c>
      <c r="N28" s="350">
        <f t="shared" si="9"/>
        <v>137839474</v>
      </c>
      <c r="O28" s="350">
        <f t="shared" si="9"/>
        <v>138450474</v>
      </c>
      <c r="P28" s="350">
        <f t="shared" si="9"/>
        <v>132060762</v>
      </c>
      <c r="Q28" s="350">
        <f t="shared" si="9"/>
        <v>132060762</v>
      </c>
      <c r="R28" s="289">
        <f>+Q28/P28</f>
        <v>1</v>
      </c>
      <c r="S28" s="345"/>
      <c r="T28" s="160"/>
      <c r="U28" s="114"/>
      <c r="V28" s="114"/>
      <c r="W28" s="114"/>
    </row>
    <row r="29" spans="1:23" s="120" customFormat="1" ht="15" customHeight="1" thickBot="1">
      <c r="A29" s="116"/>
      <c r="B29" s="132" t="s">
        <v>43</v>
      </c>
      <c r="C29" s="372" t="s">
        <v>130</v>
      </c>
      <c r="D29" s="686">
        <v>1681169</v>
      </c>
      <c r="E29" s="686">
        <v>1681169</v>
      </c>
      <c r="F29" s="686">
        <v>1681169</v>
      </c>
      <c r="G29" s="686">
        <v>1681169</v>
      </c>
      <c r="H29" s="686">
        <v>1681169</v>
      </c>
      <c r="I29" s="686">
        <v>1681169</v>
      </c>
      <c r="J29" s="561">
        <f>+I29/H29</f>
        <v>1</v>
      </c>
      <c r="K29" s="772"/>
      <c r="L29" s="773">
        <v>1681169</v>
      </c>
      <c r="M29" s="686">
        <v>1681169</v>
      </c>
      <c r="N29" s="686">
        <v>1681169</v>
      </c>
      <c r="O29" s="686">
        <v>1681169</v>
      </c>
      <c r="P29" s="686">
        <v>1681169</v>
      </c>
      <c r="Q29" s="686">
        <v>1681169</v>
      </c>
      <c r="R29" s="561">
        <f>+Q29/P29</f>
        <v>1</v>
      </c>
      <c r="S29" s="353"/>
      <c r="T29" s="354"/>
      <c r="U29" s="215"/>
      <c r="V29" s="215"/>
      <c r="W29" s="215"/>
    </row>
    <row r="30" spans="1:23" s="120" customFormat="1" ht="15" customHeight="1">
      <c r="A30" s="455"/>
      <c r="B30" s="456" t="s">
        <v>44</v>
      </c>
      <c r="C30" s="372" t="s">
        <v>433</v>
      </c>
      <c r="D30" s="347">
        <v>130602992</v>
      </c>
      <c r="E30" s="347">
        <v>136033305</v>
      </c>
      <c r="F30" s="347">
        <v>136158305</v>
      </c>
      <c r="G30" s="347">
        <v>136769305</v>
      </c>
      <c r="H30" s="347">
        <v>130379593</v>
      </c>
      <c r="I30" s="347">
        <v>130379593</v>
      </c>
      <c r="J30" s="561">
        <f>+I30/H30</f>
        <v>1</v>
      </c>
      <c r="K30" s="564"/>
      <c r="L30" s="774">
        <v>130602992</v>
      </c>
      <c r="M30" s="347">
        <v>136033305</v>
      </c>
      <c r="N30" s="347">
        <v>136158305</v>
      </c>
      <c r="O30" s="347">
        <v>136769305</v>
      </c>
      <c r="P30" s="347">
        <v>130379593</v>
      </c>
      <c r="Q30" s="347">
        <v>130379593</v>
      </c>
      <c r="R30" s="561">
        <f>+Q30/P30</f>
        <v>1</v>
      </c>
      <c r="S30" s="457"/>
      <c r="T30" s="458"/>
      <c r="U30" s="459"/>
      <c r="V30" s="459"/>
      <c r="W30" s="459"/>
    </row>
    <row r="31" spans="1:23" s="120" customFormat="1" ht="15" customHeight="1" thickBot="1">
      <c r="A31" s="133"/>
      <c r="B31" s="134" t="s">
        <v>70</v>
      </c>
      <c r="C31" s="375" t="s">
        <v>132</v>
      </c>
      <c r="D31" s="351"/>
      <c r="E31" s="351"/>
      <c r="F31" s="351"/>
      <c r="G31" s="351"/>
      <c r="H31" s="351"/>
      <c r="I31" s="351"/>
      <c r="J31" s="556"/>
      <c r="K31" s="566"/>
      <c r="L31" s="351"/>
      <c r="M31" s="351"/>
      <c r="N31" s="351"/>
      <c r="O31" s="351"/>
      <c r="P31" s="351"/>
      <c r="Q31" s="351"/>
      <c r="R31" s="556"/>
      <c r="S31" s="351"/>
      <c r="T31" s="166"/>
      <c r="U31" s="135"/>
      <c r="V31" s="135"/>
      <c r="W31" s="135"/>
    </row>
    <row r="32" spans="1:23" ht="13.5" thickBot="1">
      <c r="A32" s="136" t="s">
        <v>12</v>
      </c>
      <c r="B32" s="239"/>
      <c r="C32" s="359" t="s">
        <v>133</v>
      </c>
      <c r="D32" s="349"/>
      <c r="E32" s="349"/>
      <c r="F32" s="349"/>
      <c r="G32" s="349"/>
      <c r="H32" s="349"/>
      <c r="I32" s="349"/>
      <c r="J32" s="555"/>
      <c r="K32" s="210"/>
      <c r="L32" s="349"/>
      <c r="M32" s="349"/>
      <c r="N32" s="349"/>
      <c r="O32" s="349"/>
      <c r="P32" s="349"/>
      <c r="Q32" s="349"/>
      <c r="R32" s="555"/>
      <c r="S32" s="349"/>
      <c r="T32" s="164"/>
      <c r="U32" s="129"/>
      <c r="V32" s="129"/>
      <c r="W32" s="129"/>
    </row>
    <row r="33" spans="1:23" s="110" customFormat="1" ht="16.5" customHeight="1" thickBot="1">
      <c r="A33" s="136">
        <v>7</v>
      </c>
      <c r="B33" s="240"/>
      <c r="C33" s="376" t="s">
        <v>272</v>
      </c>
      <c r="D33" s="352">
        <f aca="true" t="shared" si="10" ref="D33:I33">D27+D32+D28</f>
        <v>165607555</v>
      </c>
      <c r="E33" s="352">
        <f t="shared" si="10"/>
        <v>171082970</v>
      </c>
      <c r="F33" s="352">
        <f t="shared" si="10"/>
        <v>171320326</v>
      </c>
      <c r="G33" s="352">
        <f t="shared" si="10"/>
        <v>171969590</v>
      </c>
      <c r="H33" s="352">
        <f t="shared" si="10"/>
        <v>167600282</v>
      </c>
      <c r="I33" s="352">
        <f t="shared" si="10"/>
        <v>167524782</v>
      </c>
      <c r="J33" s="289">
        <f>+I33/H33</f>
        <v>0.9995495234309928</v>
      </c>
      <c r="K33" s="216">
        <f aca="true" t="shared" si="11" ref="K33:Q33">K27+K32+K28</f>
        <v>0</v>
      </c>
      <c r="L33" s="352">
        <f t="shared" si="11"/>
        <v>165607555</v>
      </c>
      <c r="M33" s="352">
        <f t="shared" si="11"/>
        <v>171082970</v>
      </c>
      <c r="N33" s="352">
        <f t="shared" si="11"/>
        <v>171320326</v>
      </c>
      <c r="O33" s="352">
        <f t="shared" si="11"/>
        <v>171969590</v>
      </c>
      <c r="P33" s="352">
        <f t="shared" si="11"/>
        <v>167600282</v>
      </c>
      <c r="Q33" s="352">
        <f t="shared" si="11"/>
        <v>167524782</v>
      </c>
      <c r="R33" s="289">
        <f>+Q33/P33</f>
        <v>0.9995495234309928</v>
      </c>
      <c r="S33" s="352"/>
      <c r="T33" s="167"/>
      <c r="U33" s="155"/>
      <c r="V33" s="155"/>
      <c r="W33" s="155"/>
    </row>
    <row r="34" spans="1:23" s="141" customFormat="1" ht="12" customHeight="1">
      <c r="A34" s="138"/>
      <c r="B34" s="138"/>
      <c r="C34" s="139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1:23" ht="12" customHeight="1" thickBot="1">
      <c r="A35" s="142"/>
      <c r="B35" s="143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</row>
    <row r="36" spans="1:23" ht="12" customHeight="1" thickBot="1">
      <c r="A36" s="145"/>
      <c r="B36" s="146"/>
      <c r="C36" s="147" t="s">
        <v>135</v>
      </c>
      <c r="D36" s="352"/>
      <c r="E36" s="352"/>
      <c r="F36" s="352"/>
      <c r="G36" s="352"/>
      <c r="H36" s="167"/>
      <c r="I36" s="167"/>
      <c r="J36" s="155"/>
      <c r="K36" s="155"/>
      <c r="L36" s="352"/>
      <c r="M36" s="352"/>
      <c r="N36" s="352"/>
      <c r="O36" s="352"/>
      <c r="P36" s="167"/>
      <c r="Q36" s="167"/>
      <c r="R36" s="155"/>
      <c r="S36" s="352"/>
      <c r="T36" s="167"/>
      <c r="U36" s="155"/>
      <c r="V36" s="155"/>
      <c r="W36" s="155"/>
    </row>
    <row r="37" spans="1:23" ht="12" customHeight="1" thickBot="1">
      <c r="A37" s="121" t="s">
        <v>26</v>
      </c>
      <c r="B37" s="148"/>
      <c r="C37" s="355" t="s">
        <v>136</v>
      </c>
      <c r="D37" s="345">
        <f aca="true" t="shared" si="12" ref="D37:I37">SUM(D38:D42)</f>
        <v>163552339</v>
      </c>
      <c r="E37" s="345">
        <f t="shared" si="12"/>
        <v>169027754</v>
      </c>
      <c r="F37" s="345">
        <f t="shared" si="12"/>
        <v>169227610</v>
      </c>
      <c r="G37" s="345">
        <f t="shared" si="12"/>
        <v>169876874</v>
      </c>
      <c r="H37" s="345">
        <f t="shared" si="12"/>
        <v>165468786</v>
      </c>
      <c r="I37" s="345">
        <f t="shared" si="12"/>
        <v>163110024</v>
      </c>
      <c r="J37" s="289">
        <f>+I37/H37</f>
        <v>0.9857449730730483</v>
      </c>
      <c r="K37" s="339">
        <f aca="true" t="shared" si="13" ref="K37:Q37">SUM(K38:K42)</f>
        <v>0</v>
      </c>
      <c r="L37" s="345">
        <f t="shared" si="13"/>
        <v>163552339</v>
      </c>
      <c r="M37" s="345">
        <f t="shared" si="13"/>
        <v>169027754</v>
      </c>
      <c r="N37" s="345">
        <f t="shared" si="13"/>
        <v>169227610</v>
      </c>
      <c r="O37" s="345">
        <f t="shared" si="13"/>
        <v>169876874</v>
      </c>
      <c r="P37" s="345">
        <f t="shared" si="13"/>
        <v>165468786</v>
      </c>
      <c r="Q37" s="345">
        <f t="shared" si="13"/>
        <v>163110024</v>
      </c>
      <c r="R37" s="289">
        <f>+Q37/P37</f>
        <v>0.9857449730730483</v>
      </c>
      <c r="S37" s="345"/>
      <c r="T37" s="160"/>
      <c r="U37" s="114"/>
      <c r="V37" s="114"/>
      <c r="W37" s="114"/>
    </row>
    <row r="38" spans="1:23" ht="12" customHeight="1">
      <c r="A38" s="149"/>
      <c r="B38" s="150" t="s">
        <v>110</v>
      </c>
      <c r="C38" s="356" t="s">
        <v>137</v>
      </c>
      <c r="D38" s="362">
        <v>88024843</v>
      </c>
      <c r="E38" s="362">
        <v>92535323</v>
      </c>
      <c r="F38" s="362">
        <v>92535323</v>
      </c>
      <c r="G38" s="362">
        <v>93055323</v>
      </c>
      <c r="H38" s="362">
        <v>92818734</v>
      </c>
      <c r="I38" s="362">
        <v>92653108</v>
      </c>
      <c r="J38" s="553">
        <f>+I38/H38</f>
        <v>0.9982155972952615</v>
      </c>
      <c r="K38" s="560"/>
      <c r="L38" s="362">
        <v>88024843</v>
      </c>
      <c r="M38" s="362">
        <v>92535323</v>
      </c>
      <c r="N38" s="362">
        <v>92535323</v>
      </c>
      <c r="O38" s="362">
        <v>93055323</v>
      </c>
      <c r="P38" s="362">
        <v>92818734</v>
      </c>
      <c r="Q38" s="362">
        <v>92653108</v>
      </c>
      <c r="R38" s="553">
        <f>+Q38/P38</f>
        <v>0.9982155972952615</v>
      </c>
      <c r="S38" s="346"/>
      <c r="T38" s="161"/>
      <c r="U38" s="119"/>
      <c r="V38" s="119"/>
      <c r="W38" s="119"/>
    </row>
    <row r="39" spans="1:23" ht="12" customHeight="1">
      <c r="A39" s="151"/>
      <c r="B39" s="152" t="s">
        <v>111</v>
      </c>
      <c r="C39" s="357" t="s">
        <v>50</v>
      </c>
      <c r="D39" s="363">
        <v>16804240</v>
      </c>
      <c r="E39" s="363">
        <v>17769175</v>
      </c>
      <c r="F39" s="363">
        <v>17769175</v>
      </c>
      <c r="G39" s="363">
        <v>17860175</v>
      </c>
      <c r="H39" s="363">
        <v>18096764</v>
      </c>
      <c r="I39" s="363">
        <v>18096764</v>
      </c>
      <c r="J39" s="561">
        <f>+I39/H39</f>
        <v>1</v>
      </c>
      <c r="K39" s="368"/>
      <c r="L39" s="363">
        <v>16804240</v>
      </c>
      <c r="M39" s="363">
        <v>17769175</v>
      </c>
      <c r="N39" s="363">
        <v>17769175</v>
      </c>
      <c r="O39" s="363">
        <v>17860175</v>
      </c>
      <c r="P39" s="363">
        <v>18096764</v>
      </c>
      <c r="Q39" s="363">
        <v>18096764</v>
      </c>
      <c r="R39" s="561">
        <f>+Q39/P39</f>
        <v>1</v>
      </c>
      <c r="S39" s="346"/>
      <c r="T39" s="161"/>
      <c r="U39" s="119"/>
      <c r="V39" s="119"/>
      <c r="W39" s="119"/>
    </row>
    <row r="40" spans="1:23" ht="12" customHeight="1">
      <c r="A40" s="151"/>
      <c r="B40" s="152" t="s">
        <v>112</v>
      </c>
      <c r="C40" s="357" t="s">
        <v>138</v>
      </c>
      <c r="D40" s="363">
        <v>58723256</v>
      </c>
      <c r="E40" s="363">
        <v>58723256</v>
      </c>
      <c r="F40" s="363">
        <v>58923112</v>
      </c>
      <c r="G40" s="363">
        <v>58961376</v>
      </c>
      <c r="H40" s="363">
        <v>54553288</v>
      </c>
      <c r="I40" s="363">
        <v>52360152</v>
      </c>
      <c r="J40" s="561">
        <f>+I40/H40</f>
        <v>0.9597982801696572</v>
      </c>
      <c r="K40" s="368"/>
      <c r="L40" s="363">
        <v>58723256</v>
      </c>
      <c r="M40" s="363">
        <v>58723256</v>
      </c>
      <c r="N40" s="363">
        <v>58923112</v>
      </c>
      <c r="O40" s="363">
        <v>58961376</v>
      </c>
      <c r="P40" s="363">
        <v>54553288</v>
      </c>
      <c r="Q40" s="363">
        <v>52360152</v>
      </c>
      <c r="R40" s="561">
        <f>+Q40/P40</f>
        <v>0.9597982801696572</v>
      </c>
      <c r="S40" s="346"/>
      <c r="T40" s="161"/>
      <c r="U40" s="119"/>
      <c r="V40" s="119"/>
      <c r="W40" s="119"/>
    </row>
    <row r="41" spans="1:23" s="141" customFormat="1" ht="12" customHeight="1">
      <c r="A41" s="151"/>
      <c r="B41" s="152" t="s">
        <v>113</v>
      </c>
      <c r="C41" s="357" t="s">
        <v>80</v>
      </c>
      <c r="D41" s="363"/>
      <c r="E41" s="363"/>
      <c r="F41" s="363"/>
      <c r="G41" s="363"/>
      <c r="H41" s="363"/>
      <c r="I41" s="363"/>
      <c r="J41" s="169"/>
      <c r="K41" s="368"/>
      <c r="L41" s="363"/>
      <c r="M41" s="363"/>
      <c r="N41" s="363"/>
      <c r="O41" s="363"/>
      <c r="P41" s="363"/>
      <c r="Q41" s="363"/>
      <c r="R41" s="169"/>
      <c r="S41" s="346"/>
      <c r="T41" s="161"/>
      <c r="U41" s="119"/>
      <c r="V41" s="119"/>
      <c r="W41" s="119"/>
    </row>
    <row r="42" spans="1:23" ht="12" customHeight="1" thickBot="1">
      <c r="A42" s="151"/>
      <c r="B42" s="152" t="s">
        <v>49</v>
      </c>
      <c r="C42" s="357" t="s">
        <v>82</v>
      </c>
      <c r="D42" s="363"/>
      <c r="E42" s="363"/>
      <c r="F42" s="363"/>
      <c r="G42" s="363"/>
      <c r="H42" s="363"/>
      <c r="I42" s="363"/>
      <c r="J42" s="561"/>
      <c r="K42" s="368"/>
      <c r="L42" s="363"/>
      <c r="M42" s="363"/>
      <c r="N42" s="363"/>
      <c r="O42" s="363"/>
      <c r="P42" s="363"/>
      <c r="Q42" s="363"/>
      <c r="R42" s="561"/>
      <c r="S42" s="363"/>
      <c r="T42" s="169"/>
      <c r="U42" s="153"/>
      <c r="V42" s="153"/>
      <c r="W42" s="153"/>
    </row>
    <row r="43" spans="1:23" ht="12" customHeight="1" thickBot="1">
      <c r="A43" s="121" t="s">
        <v>27</v>
      </c>
      <c r="B43" s="148"/>
      <c r="C43" s="355" t="s">
        <v>139</v>
      </c>
      <c r="D43" s="345">
        <f aca="true" t="shared" si="14" ref="D43:I43">SUM(D44:D48)</f>
        <v>2055216</v>
      </c>
      <c r="E43" s="345">
        <f t="shared" si="14"/>
        <v>2055216</v>
      </c>
      <c r="F43" s="345">
        <f t="shared" si="14"/>
        <v>2092716</v>
      </c>
      <c r="G43" s="345">
        <f t="shared" si="14"/>
        <v>2092716</v>
      </c>
      <c r="H43" s="345">
        <f t="shared" si="14"/>
        <v>2131496</v>
      </c>
      <c r="I43" s="345">
        <f t="shared" si="14"/>
        <v>2131496</v>
      </c>
      <c r="J43" s="289">
        <f>+I43/H43</f>
        <v>1</v>
      </c>
      <c r="K43" s="339">
        <f aca="true" t="shared" si="15" ref="K43:Q43">SUM(K44:K48)</f>
        <v>0</v>
      </c>
      <c r="L43" s="345">
        <f t="shared" si="15"/>
        <v>2055216</v>
      </c>
      <c r="M43" s="345">
        <f t="shared" si="15"/>
        <v>2055216</v>
      </c>
      <c r="N43" s="345">
        <f t="shared" si="15"/>
        <v>2092716</v>
      </c>
      <c r="O43" s="345">
        <f t="shared" si="15"/>
        <v>2092716</v>
      </c>
      <c r="P43" s="345">
        <f t="shared" si="15"/>
        <v>2131496</v>
      </c>
      <c r="Q43" s="345">
        <f t="shared" si="15"/>
        <v>2131496</v>
      </c>
      <c r="R43" s="289">
        <f>+Q43/P43</f>
        <v>1</v>
      </c>
      <c r="S43" s="345"/>
      <c r="T43" s="160"/>
      <c r="U43" s="114"/>
      <c r="V43" s="114"/>
      <c r="W43" s="114"/>
    </row>
    <row r="44" spans="1:23" ht="12" customHeight="1">
      <c r="A44" s="149"/>
      <c r="B44" s="150" t="s">
        <v>140</v>
      </c>
      <c r="C44" s="356" t="s">
        <v>92</v>
      </c>
      <c r="D44" s="362">
        <v>2055216</v>
      </c>
      <c r="E44" s="362">
        <v>2055216</v>
      </c>
      <c r="F44" s="362">
        <v>2092716</v>
      </c>
      <c r="G44" s="362">
        <v>2092716</v>
      </c>
      <c r="H44" s="362">
        <v>2131496</v>
      </c>
      <c r="I44" s="362">
        <v>2131496</v>
      </c>
      <c r="J44" s="553">
        <f>+I44/H44</f>
        <v>1</v>
      </c>
      <c r="K44" s="560"/>
      <c r="L44" s="362">
        <v>2055216</v>
      </c>
      <c r="M44" s="362">
        <v>2055216</v>
      </c>
      <c r="N44" s="362">
        <v>2092716</v>
      </c>
      <c r="O44" s="362">
        <v>2092716</v>
      </c>
      <c r="P44" s="362">
        <v>2131496</v>
      </c>
      <c r="Q44" s="362">
        <v>2131496</v>
      </c>
      <c r="R44" s="553">
        <f>+Q44/P44</f>
        <v>1</v>
      </c>
      <c r="S44" s="346"/>
      <c r="T44" s="161"/>
      <c r="U44" s="119"/>
      <c r="V44" s="119"/>
      <c r="W44" s="119"/>
    </row>
    <row r="45" spans="1:23" ht="12" customHeight="1">
      <c r="A45" s="149"/>
      <c r="B45" s="150"/>
      <c r="C45" s="356" t="s">
        <v>343</v>
      </c>
      <c r="D45" s="362"/>
      <c r="E45" s="362"/>
      <c r="F45" s="362"/>
      <c r="G45" s="362"/>
      <c r="H45" s="362"/>
      <c r="I45" s="362"/>
      <c r="J45" s="168"/>
      <c r="K45" s="560"/>
      <c r="L45" s="362"/>
      <c r="M45" s="362"/>
      <c r="N45" s="362"/>
      <c r="O45" s="362"/>
      <c r="P45" s="362"/>
      <c r="Q45" s="362"/>
      <c r="R45" s="168"/>
      <c r="S45" s="346"/>
      <c r="T45" s="161"/>
      <c r="U45" s="119"/>
      <c r="V45" s="119"/>
      <c r="W45" s="119"/>
    </row>
    <row r="46" spans="1:23" ht="12" customHeight="1">
      <c r="A46" s="151"/>
      <c r="B46" s="152" t="s">
        <v>141</v>
      </c>
      <c r="C46" s="357" t="s">
        <v>93</v>
      </c>
      <c r="D46" s="363"/>
      <c r="E46" s="363"/>
      <c r="F46" s="363"/>
      <c r="G46" s="363"/>
      <c r="H46" s="363"/>
      <c r="I46" s="363"/>
      <c r="J46" s="169"/>
      <c r="K46" s="368"/>
      <c r="L46" s="363"/>
      <c r="M46" s="363"/>
      <c r="N46" s="363"/>
      <c r="O46" s="363"/>
      <c r="P46" s="363"/>
      <c r="Q46" s="363"/>
      <c r="R46" s="169"/>
      <c r="S46" s="363"/>
      <c r="T46" s="169"/>
      <c r="U46" s="153"/>
      <c r="V46" s="153"/>
      <c r="W46" s="153"/>
    </row>
    <row r="47" spans="1:23" ht="15" customHeight="1">
      <c r="A47" s="151"/>
      <c r="B47" s="152" t="s">
        <v>40</v>
      </c>
      <c r="C47" s="357" t="s">
        <v>143</v>
      </c>
      <c r="D47" s="363"/>
      <c r="E47" s="363"/>
      <c r="F47" s="363"/>
      <c r="G47" s="363"/>
      <c r="H47" s="363"/>
      <c r="I47" s="363"/>
      <c r="J47" s="169"/>
      <c r="K47" s="368"/>
      <c r="L47" s="363"/>
      <c r="M47" s="363"/>
      <c r="N47" s="363"/>
      <c r="O47" s="363"/>
      <c r="P47" s="363"/>
      <c r="Q47" s="363"/>
      <c r="R47" s="169"/>
      <c r="S47" s="363"/>
      <c r="T47" s="169"/>
      <c r="U47" s="153"/>
      <c r="V47" s="153"/>
      <c r="W47" s="153"/>
    </row>
    <row r="48" spans="1:23" ht="13.5" thickBot="1">
      <c r="A48" s="151"/>
      <c r="B48" s="152" t="s">
        <v>269</v>
      </c>
      <c r="C48" s="357" t="s">
        <v>145</v>
      </c>
      <c r="D48" s="363"/>
      <c r="E48" s="363"/>
      <c r="F48" s="363"/>
      <c r="G48" s="363"/>
      <c r="H48" s="363"/>
      <c r="I48" s="363"/>
      <c r="J48" s="169"/>
      <c r="K48" s="368"/>
      <c r="L48" s="363"/>
      <c r="M48" s="363"/>
      <c r="N48" s="363"/>
      <c r="O48" s="363"/>
      <c r="P48" s="363"/>
      <c r="Q48" s="363"/>
      <c r="R48" s="169"/>
      <c r="S48" s="363"/>
      <c r="T48" s="169"/>
      <c r="U48" s="153"/>
      <c r="V48" s="153"/>
      <c r="W48" s="153"/>
    </row>
    <row r="49" spans="1:23" ht="15" customHeight="1" thickBot="1">
      <c r="A49" s="121" t="s">
        <v>9</v>
      </c>
      <c r="B49" s="148"/>
      <c r="C49" s="358" t="s">
        <v>146</v>
      </c>
      <c r="D49" s="349"/>
      <c r="E49" s="349"/>
      <c r="F49" s="349"/>
      <c r="G49" s="349"/>
      <c r="H49" s="349"/>
      <c r="I49" s="349"/>
      <c r="J49" s="164"/>
      <c r="K49" s="340"/>
      <c r="L49" s="349"/>
      <c r="M49" s="349"/>
      <c r="N49" s="349"/>
      <c r="O49" s="349"/>
      <c r="P49" s="349"/>
      <c r="Q49" s="349"/>
      <c r="R49" s="164"/>
      <c r="S49" s="349"/>
      <c r="T49" s="164"/>
      <c r="U49" s="129"/>
      <c r="V49" s="129"/>
      <c r="W49" s="129"/>
    </row>
    <row r="50" spans="1:23" ht="14.25" customHeight="1" thickBot="1">
      <c r="A50" s="136" t="s">
        <v>10</v>
      </c>
      <c r="B50" s="239"/>
      <c r="C50" s="359" t="s">
        <v>147</v>
      </c>
      <c r="D50" s="349"/>
      <c r="E50" s="349"/>
      <c r="F50" s="349"/>
      <c r="G50" s="349"/>
      <c r="H50" s="349"/>
      <c r="I50" s="349"/>
      <c r="J50" s="164"/>
      <c r="K50" s="340"/>
      <c r="L50" s="349"/>
      <c r="M50" s="349"/>
      <c r="N50" s="349"/>
      <c r="O50" s="349"/>
      <c r="P50" s="349"/>
      <c r="Q50" s="349"/>
      <c r="R50" s="164"/>
      <c r="S50" s="349"/>
      <c r="T50" s="164"/>
      <c r="U50" s="129"/>
      <c r="V50" s="129"/>
      <c r="W50" s="129"/>
    </row>
    <row r="51" spans="1:23" ht="13.5" thickBot="1">
      <c r="A51" s="121">
        <v>5</v>
      </c>
      <c r="B51" s="154"/>
      <c r="C51" s="360" t="s">
        <v>273</v>
      </c>
      <c r="D51" s="352">
        <f aca="true" t="shared" si="16" ref="D51:I51">D37+D43+D49+D50</f>
        <v>165607555</v>
      </c>
      <c r="E51" s="352">
        <f t="shared" si="16"/>
        <v>171082970</v>
      </c>
      <c r="F51" s="352">
        <f t="shared" si="16"/>
        <v>171320326</v>
      </c>
      <c r="G51" s="352">
        <f t="shared" si="16"/>
        <v>171969590</v>
      </c>
      <c r="H51" s="352">
        <f t="shared" si="16"/>
        <v>167600282</v>
      </c>
      <c r="I51" s="352">
        <f t="shared" si="16"/>
        <v>165241520</v>
      </c>
      <c r="J51" s="289">
        <f>+I51/H51</f>
        <v>0.9859262647302706</v>
      </c>
      <c r="K51" s="137">
        <f aca="true" t="shared" si="17" ref="K51:Q51">K37+K43+K49+K50</f>
        <v>0</v>
      </c>
      <c r="L51" s="352">
        <f t="shared" si="17"/>
        <v>165607555</v>
      </c>
      <c r="M51" s="352">
        <f t="shared" si="17"/>
        <v>171082970</v>
      </c>
      <c r="N51" s="352">
        <f t="shared" si="17"/>
        <v>171320326</v>
      </c>
      <c r="O51" s="352">
        <f t="shared" si="17"/>
        <v>171969590</v>
      </c>
      <c r="P51" s="352">
        <f t="shared" si="17"/>
        <v>167600282</v>
      </c>
      <c r="Q51" s="352">
        <f t="shared" si="17"/>
        <v>165241520</v>
      </c>
      <c r="R51" s="289">
        <f>+Q51/P51</f>
        <v>0.9859262647302706</v>
      </c>
      <c r="S51" s="352"/>
      <c r="T51" s="167"/>
      <c r="U51" s="155"/>
      <c r="V51" s="155"/>
      <c r="W51" s="155"/>
    </row>
    <row r="52" spans="4:23" ht="13.5" thickBot="1">
      <c r="D52" s="385"/>
      <c r="E52" s="385"/>
      <c r="F52" s="385"/>
      <c r="G52" s="385"/>
      <c r="H52" s="385"/>
      <c r="I52" s="385"/>
      <c r="J52" s="386"/>
      <c r="K52" s="567"/>
      <c r="L52" s="385"/>
      <c r="M52" s="385"/>
      <c r="N52" s="385"/>
      <c r="O52" s="385"/>
      <c r="P52" s="385"/>
      <c r="Q52" s="385"/>
      <c r="R52" s="386"/>
      <c r="S52" s="385"/>
      <c r="T52" s="386"/>
      <c r="U52" s="387"/>
      <c r="V52" s="387"/>
      <c r="W52" s="387"/>
    </row>
    <row r="53" spans="1:23" ht="13.5" thickBot="1">
      <c r="A53" s="156" t="s">
        <v>149</v>
      </c>
      <c r="B53" s="157"/>
      <c r="C53" s="361"/>
      <c r="D53" s="788">
        <v>25</v>
      </c>
      <c r="E53" s="788">
        <v>27</v>
      </c>
      <c r="F53" s="788">
        <v>27</v>
      </c>
      <c r="G53" s="788">
        <v>27</v>
      </c>
      <c r="H53" s="788">
        <v>26</v>
      </c>
      <c r="I53" s="788">
        <v>26</v>
      </c>
      <c r="J53" s="1311">
        <f>+I53/H53</f>
        <v>1</v>
      </c>
      <c r="K53" s="789"/>
      <c r="L53" s="788">
        <v>25</v>
      </c>
      <c r="M53" s="788">
        <v>27</v>
      </c>
      <c r="N53" s="788">
        <v>27</v>
      </c>
      <c r="O53" s="788">
        <v>27</v>
      </c>
      <c r="P53" s="788">
        <v>26</v>
      </c>
      <c r="Q53" s="788">
        <v>26</v>
      </c>
      <c r="R53" s="289">
        <f>+Q53/P53</f>
        <v>1</v>
      </c>
      <c r="S53" s="369"/>
      <c r="T53" s="171"/>
      <c r="U53" s="364"/>
      <c r="V53" s="364"/>
      <c r="W53" s="364"/>
    </row>
    <row r="54" spans="1:23" ht="13.5" thickBot="1">
      <c r="A54" s="156" t="s">
        <v>150</v>
      </c>
      <c r="B54" s="157"/>
      <c r="C54" s="361"/>
      <c r="D54" s="369">
        <v>0</v>
      </c>
      <c r="E54" s="369">
        <v>0</v>
      </c>
      <c r="F54" s="369">
        <v>0</v>
      </c>
      <c r="G54" s="369">
        <v>0</v>
      </c>
      <c r="H54" s="369">
        <v>0</v>
      </c>
      <c r="I54" s="369">
        <v>0</v>
      </c>
      <c r="J54" s="289"/>
      <c r="K54" s="170"/>
      <c r="L54" s="369">
        <v>0</v>
      </c>
      <c r="M54" s="369">
        <v>0</v>
      </c>
      <c r="N54" s="369">
        <v>0</v>
      </c>
      <c r="O54" s="369">
        <v>0</v>
      </c>
      <c r="P54" s="369">
        <v>0</v>
      </c>
      <c r="Q54" s="369">
        <v>0</v>
      </c>
      <c r="R54" s="289"/>
      <c r="S54" s="369"/>
      <c r="T54" s="171"/>
      <c r="U54" s="364"/>
      <c r="V54" s="364"/>
      <c r="W54" s="364"/>
    </row>
    <row r="55" spans="6:11" ht="12.75">
      <c r="F55" s="243"/>
      <c r="G55" s="243"/>
      <c r="H55" s="243"/>
      <c r="I55" s="243"/>
      <c r="J55" s="243"/>
      <c r="K55" s="243"/>
    </row>
    <row r="56" spans="1:11" ht="12.75">
      <c r="A56" s="1611" t="s">
        <v>151</v>
      </c>
      <c r="B56" s="1611"/>
      <c r="C56" s="1611"/>
      <c r="D56" s="1611"/>
      <c r="E56" s="230"/>
      <c r="F56" s="551"/>
      <c r="G56" s="551"/>
      <c r="H56" s="551"/>
      <c r="I56" s="551"/>
      <c r="J56" s="230"/>
      <c r="K56" s="230"/>
    </row>
    <row r="57" spans="1:3" ht="12.75">
      <c r="A57" s="1611"/>
      <c r="B57" s="1611"/>
      <c r="C57" s="1611"/>
    </row>
    <row r="58" spans="4:11" ht="12.75">
      <c r="D58" s="243">
        <v>0</v>
      </c>
      <c r="E58" s="243"/>
      <c r="F58" s="243"/>
      <c r="G58" s="243"/>
      <c r="H58" s="243"/>
      <c r="I58" s="243"/>
      <c r="J58" s="243"/>
      <c r="K58" s="243"/>
    </row>
  </sheetData>
  <sheetProtection/>
  <mergeCells count="8">
    <mergeCell ref="L1:V1"/>
    <mergeCell ref="S5:W5"/>
    <mergeCell ref="A3:S3"/>
    <mergeCell ref="A57:C57"/>
    <mergeCell ref="A56:D56"/>
    <mergeCell ref="A6:B6"/>
    <mergeCell ref="D5:K5"/>
    <mergeCell ref="L5:R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view="pageBreakPreview" zoomScale="60" zoomScaleNormal="70" workbookViewId="0" topLeftCell="A9">
      <selection activeCell="W5" sqref="W5:W24"/>
    </sheetView>
  </sheetViews>
  <sheetFormatPr defaultColWidth="9.140625" defaultRowHeight="12.75"/>
  <cols>
    <col min="1" max="1" width="9.140625" style="809" customWidth="1"/>
    <col min="2" max="2" width="54.28125" style="809" customWidth="1"/>
    <col min="3" max="3" width="5.57421875" style="849" customWidth="1"/>
    <col min="4" max="4" width="17.421875" style="844" customWidth="1"/>
    <col min="5" max="6" width="18.57421875" style="844" hidden="1" customWidth="1"/>
    <col min="7" max="7" width="15.7109375" style="844" hidden="1" customWidth="1"/>
    <col min="8" max="8" width="15.7109375" style="844" customWidth="1"/>
    <col min="9" max="10" width="14.140625" style="844" customWidth="1"/>
    <col min="11" max="11" width="20.28125" style="809" customWidth="1"/>
    <col min="12" max="14" width="15.28125" style="809" hidden="1" customWidth="1"/>
    <col min="15" max="17" width="15.28125" style="809" customWidth="1"/>
    <col min="18" max="18" width="18.28125" style="809" customWidth="1"/>
    <col min="19" max="19" width="13.28125" style="809" hidden="1" customWidth="1"/>
    <col min="20" max="20" width="14.7109375" style="809" hidden="1" customWidth="1"/>
    <col min="21" max="21" width="17.421875" style="809" hidden="1" customWidth="1"/>
    <col min="22" max="22" width="14.8515625" style="809" customWidth="1"/>
    <col min="23" max="23" width="17.00390625" style="809" customWidth="1"/>
    <col min="24" max="24" width="20.140625" style="809" customWidth="1"/>
    <col min="25" max="25" width="17.140625" style="809" customWidth="1"/>
    <col min="26" max="16384" width="9.140625" style="809" customWidth="1"/>
  </cols>
  <sheetData>
    <row r="1" spans="1:19" ht="15.75">
      <c r="A1" s="1623" t="s">
        <v>58</v>
      </c>
      <c r="B1" s="1623"/>
      <c r="C1" s="1623"/>
      <c r="D1" s="1623"/>
      <c r="E1" s="1623"/>
      <c r="F1" s="1623"/>
      <c r="G1" s="1623"/>
      <c r="H1" s="1623"/>
      <c r="I1" s="1623"/>
      <c r="J1" s="1623"/>
      <c r="K1" s="1623"/>
      <c r="L1" s="1623"/>
      <c r="M1" s="1623"/>
      <c r="N1" s="1623"/>
      <c r="O1" s="1623"/>
      <c r="P1" s="1623"/>
      <c r="Q1" s="1623"/>
      <c r="R1" s="1623"/>
      <c r="S1" s="808"/>
    </row>
    <row r="2" spans="1:19" ht="16.5" thickBot="1">
      <c r="A2" s="810"/>
      <c r="B2" s="808"/>
      <c r="C2" s="808"/>
      <c r="D2" s="811"/>
      <c r="E2" s="811"/>
      <c r="F2" s="811"/>
      <c r="G2" s="811"/>
      <c r="H2" s="812"/>
      <c r="I2" s="811"/>
      <c r="J2" s="811"/>
      <c r="K2" s="808"/>
      <c r="L2" s="808"/>
      <c r="M2" s="808"/>
      <c r="N2" s="808"/>
      <c r="O2" s="808"/>
      <c r="P2" s="808"/>
      <c r="Q2" s="808"/>
      <c r="R2" s="808" t="s">
        <v>434</v>
      </c>
      <c r="S2" s="808"/>
    </row>
    <row r="3" spans="1:24" s="816" customFormat="1" ht="31.5" customHeight="1" thickBot="1">
      <c r="A3" s="813" t="s">
        <v>5</v>
      </c>
      <c r="B3" s="814" t="s">
        <v>34</v>
      </c>
      <c r="C3" s="815" t="s">
        <v>264</v>
      </c>
      <c r="D3" s="1615" t="s">
        <v>4</v>
      </c>
      <c r="E3" s="1616"/>
      <c r="F3" s="1616"/>
      <c r="G3" s="1616"/>
      <c r="H3" s="1616"/>
      <c r="I3" s="1616"/>
      <c r="J3" s="1617"/>
      <c r="K3" s="1618" t="s">
        <v>265</v>
      </c>
      <c r="L3" s="1619"/>
      <c r="M3" s="1619"/>
      <c r="N3" s="1619"/>
      <c r="O3" s="1619"/>
      <c r="P3" s="1619"/>
      <c r="Q3" s="1620"/>
      <c r="R3" s="1618" t="s">
        <v>25</v>
      </c>
      <c r="S3" s="1619"/>
      <c r="T3" s="1619"/>
      <c r="U3" s="1619"/>
      <c r="V3" s="1619"/>
      <c r="W3" s="1619"/>
      <c r="X3" s="1620"/>
    </row>
    <row r="4" spans="1:24" s="816" customFormat="1" ht="31.5" customHeight="1">
      <c r="A4" s="817"/>
      <c r="B4" s="818"/>
      <c r="C4" s="819"/>
      <c r="D4" s="820" t="s">
        <v>64</v>
      </c>
      <c r="E4" s="821" t="s">
        <v>225</v>
      </c>
      <c r="F4" s="821" t="s">
        <v>228</v>
      </c>
      <c r="G4" s="822" t="s">
        <v>230</v>
      </c>
      <c r="H4" s="823" t="s">
        <v>242</v>
      </c>
      <c r="I4" s="822" t="s">
        <v>233</v>
      </c>
      <c r="J4" s="824" t="s">
        <v>234</v>
      </c>
      <c r="K4" s="820" t="s">
        <v>64</v>
      </c>
      <c r="L4" s="821" t="s">
        <v>225</v>
      </c>
      <c r="M4" s="821" t="s">
        <v>228</v>
      </c>
      <c r="N4" s="822" t="s">
        <v>230</v>
      </c>
      <c r="O4" s="822" t="s">
        <v>242</v>
      </c>
      <c r="P4" s="822" t="s">
        <v>233</v>
      </c>
      <c r="Q4" s="824" t="s">
        <v>234</v>
      </c>
      <c r="R4" s="820" t="s">
        <v>64</v>
      </c>
      <c r="S4" s="821" t="s">
        <v>225</v>
      </c>
      <c r="T4" s="821" t="s">
        <v>228</v>
      </c>
      <c r="U4" s="822" t="s">
        <v>230</v>
      </c>
      <c r="V4" s="822" t="s">
        <v>242</v>
      </c>
      <c r="W4" s="822" t="s">
        <v>233</v>
      </c>
      <c r="X4" s="824" t="s">
        <v>234</v>
      </c>
    </row>
    <row r="5" spans="1:24" ht="29.25" customHeight="1">
      <c r="A5" s="825">
        <v>1</v>
      </c>
      <c r="B5" s="826" t="s">
        <v>630</v>
      </c>
      <c r="C5" s="827" t="s">
        <v>206</v>
      </c>
      <c r="D5" s="828">
        <v>67945</v>
      </c>
      <c r="E5" s="829">
        <v>67945</v>
      </c>
      <c r="F5" s="829">
        <v>67945</v>
      </c>
      <c r="G5" s="829">
        <v>67945</v>
      </c>
      <c r="H5" s="829">
        <v>67945</v>
      </c>
      <c r="I5" s="938">
        <v>67945</v>
      </c>
      <c r="J5" s="939">
        <f>+I5/H5</f>
        <v>1</v>
      </c>
      <c r="K5" s="828">
        <v>67945</v>
      </c>
      <c r="L5" s="856">
        <f aca="true" t="shared" si="0" ref="L5:N12">+E5-S5</f>
        <v>0</v>
      </c>
      <c r="M5" s="856">
        <f t="shared" si="0"/>
        <v>0</v>
      </c>
      <c r="N5" s="856">
        <f t="shared" si="0"/>
        <v>0</v>
      </c>
      <c r="O5" s="829"/>
      <c r="P5" s="829"/>
      <c r="Q5" s="830"/>
      <c r="R5" s="828">
        <f aca="true" t="shared" si="1" ref="R5:R14">+D5-K5</f>
        <v>0</v>
      </c>
      <c r="S5" s="829">
        <v>67945</v>
      </c>
      <c r="T5" s="829">
        <v>67945</v>
      </c>
      <c r="U5" s="829">
        <v>67945</v>
      </c>
      <c r="V5" s="829">
        <f aca="true" t="shared" si="2" ref="V5:V24">+H5-O5</f>
        <v>67945</v>
      </c>
      <c r="W5" s="829">
        <f aca="true" t="shared" si="3" ref="W5:W13">+I5-P5</f>
        <v>67945</v>
      </c>
      <c r="X5" s="939">
        <f aca="true" t="shared" si="4" ref="X5:X24">+W5/V5</f>
        <v>1</v>
      </c>
    </row>
    <row r="6" spans="1:24" ht="29.25" customHeight="1">
      <c r="A6" s="825">
        <v>2</v>
      </c>
      <c r="B6" s="826" t="s">
        <v>625</v>
      </c>
      <c r="C6" s="827" t="s">
        <v>206</v>
      </c>
      <c r="D6" s="828">
        <v>30000</v>
      </c>
      <c r="E6" s="829">
        <v>30000</v>
      </c>
      <c r="F6" s="829">
        <v>30000</v>
      </c>
      <c r="G6" s="829">
        <v>30000</v>
      </c>
      <c r="H6" s="829">
        <v>30000</v>
      </c>
      <c r="I6" s="938">
        <v>0</v>
      </c>
      <c r="J6" s="939">
        <f aca="true" t="shared" si="5" ref="J6:J30">+I6/H6</f>
        <v>0</v>
      </c>
      <c r="K6" s="828">
        <v>30000</v>
      </c>
      <c r="L6" s="856">
        <f t="shared" si="0"/>
        <v>0</v>
      </c>
      <c r="M6" s="856">
        <f t="shared" si="0"/>
        <v>0</v>
      </c>
      <c r="N6" s="856">
        <f t="shared" si="0"/>
        <v>0</v>
      </c>
      <c r="O6" s="831"/>
      <c r="P6" s="831"/>
      <c r="Q6" s="830"/>
      <c r="R6" s="828">
        <f t="shared" si="1"/>
        <v>0</v>
      </c>
      <c r="S6" s="829">
        <v>30000</v>
      </c>
      <c r="T6" s="829">
        <v>30000</v>
      </c>
      <c r="U6" s="829">
        <v>30000</v>
      </c>
      <c r="V6" s="829">
        <f t="shared" si="2"/>
        <v>30000</v>
      </c>
      <c r="W6" s="829">
        <f t="shared" si="3"/>
        <v>0</v>
      </c>
      <c r="X6" s="939">
        <f t="shared" si="4"/>
        <v>0</v>
      </c>
    </row>
    <row r="7" spans="1:24" ht="29.25" customHeight="1">
      <c r="A7" s="825">
        <v>3</v>
      </c>
      <c r="B7" s="826" t="s">
        <v>626</v>
      </c>
      <c r="C7" s="832" t="s">
        <v>206</v>
      </c>
      <c r="D7" s="828">
        <v>60000</v>
      </c>
      <c r="E7" s="829">
        <v>60000</v>
      </c>
      <c r="F7" s="829">
        <v>60000</v>
      </c>
      <c r="G7" s="829">
        <v>60000</v>
      </c>
      <c r="H7" s="829">
        <v>60000</v>
      </c>
      <c r="I7" s="938">
        <v>0</v>
      </c>
      <c r="J7" s="939">
        <f t="shared" si="5"/>
        <v>0</v>
      </c>
      <c r="K7" s="828">
        <v>60000</v>
      </c>
      <c r="L7" s="856">
        <f t="shared" si="0"/>
        <v>0</v>
      </c>
      <c r="M7" s="856">
        <f t="shared" si="0"/>
        <v>0</v>
      </c>
      <c r="N7" s="856">
        <f t="shared" si="0"/>
        <v>0</v>
      </c>
      <c r="O7" s="833"/>
      <c r="P7" s="833"/>
      <c r="Q7" s="830"/>
      <c r="R7" s="828">
        <f t="shared" si="1"/>
        <v>0</v>
      </c>
      <c r="S7" s="829">
        <v>60000</v>
      </c>
      <c r="T7" s="829">
        <v>60000</v>
      </c>
      <c r="U7" s="829">
        <v>60000</v>
      </c>
      <c r="V7" s="829">
        <f t="shared" si="2"/>
        <v>60000</v>
      </c>
      <c r="W7" s="829">
        <f t="shared" si="3"/>
        <v>0</v>
      </c>
      <c r="X7" s="939">
        <f t="shared" si="4"/>
        <v>0</v>
      </c>
    </row>
    <row r="8" spans="1:24" ht="29.25" customHeight="1">
      <c r="A8" s="825">
        <v>4</v>
      </c>
      <c r="B8" s="826" t="s">
        <v>627</v>
      </c>
      <c r="C8" s="832" t="s">
        <v>206</v>
      </c>
      <c r="D8" s="828">
        <v>400000</v>
      </c>
      <c r="E8" s="829">
        <v>400000</v>
      </c>
      <c r="F8" s="829">
        <v>400000</v>
      </c>
      <c r="G8" s="829">
        <v>400000</v>
      </c>
      <c r="H8" s="829">
        <v>400000</v>
      </c>
      <c r="I8" s="938">
        <v>0</v>
      </c>
      <c r="J8" s="939">
        <f t="shared" si="5"/>
        <v>0</v>
      </c>
      <c r="K8" s="828">
        <v>400000</v>
      </c>
      <c r="L8" s="856">
        <f t="shared" si="0"/>
        <v>0</v>
      </c>
      <c r="M8" s="856">
        <f t="shared" si="0"/>
        <v>0</v>
      </c>
      <c r="N8" s="856">
        <f t="shared" si="0"/>
        <v>0</v>
      </c>
      <c r="O8" s="833"/>
      <c r="P8" s="833"/>
      <c r="Q8" s="830"/>
      <c r="R8" s="828">
        <f t="shared" si="1"/>
        <v>0</v>
      </c>
      <c r="S8" s="829">
        <v>400000</v>
      </c>
      <c r="T8" s="829">
        <v>400000</v>
      </c>
      <c r="U8" s="829">
        <v>400000</v>
      </c>
      <c r="V8" s="829">
        <f t="shared" si="2"/>
        <v>400000</v>
      </c>
      <c r="W8" s="829">
        <f t="shared" si="3"/>
        <v>0</v>
      </c>
      <c r="X8" s="939">
        <f t="shared" si="4"/>
        <v>0</v>
      </c>
    </row>
    <row r="9" spans="1:24" ht="29.25" customHeight="1">
      <c r="A9" s="825">
        <v>5</v>
      </c>
      <c r="B9" s="826" t="s">
        <v>628</v>
      </c>
      <c r="C9" s="832" t="s">
        <v>206</v>
      </c>
      <c r="D9" s="828">
        <v>15000</v>
      </c>
      <c r="E9" s="829">
        <v>15000</v>
      </c>
      <c r="F9" s="829">
        <v>15000</v>
      </c>
      <c r="G9" s="829">
        <v>15000</v>
      </c>
      <c r="H9" s="829">
        <v>15000</v>
      </c>
      <c r="I9" s="938">
        <v>0</v>
      </c>
      <c r="J9" s="939">
        <f t="shared" si="5"/>
        <v>0</v>
      </c>
      <c r="K9" s="828">
        <v>15000</v>
      </c>
      <c r="L9" s="856">
        <f t="shared" si="0"/>
        <v>0</v>
      </c>
      <c r="M9" s="856">
        <f t="shared" si="0"/>
        <v>0</v>
      </c>
      <c r="N9" s="856">
        <f t="shared" si="0"/>
        <v>0</v>
      </c>
      <c r="O9" s="833"/>
      <c r="P9" s="833"/>
      <c r="Q9" s="830"/>
      <c r="R9" s="828">
        <f t="shared" si="1"/>
        <v>0</v>
      </c>
      <c r="S9" s="829">
        <v>15000</v>
      </c>
      <c r="T9" s="829">
        <v>15000</v>
      </c>
      <c r="U9" s="829">
        <v>15000</v>
      </c>
      <c r="V9" s="829">
        <f t="shared" si="2"/>
        <v>15000</v>
      </c>
      <c r="W9" s="829">
        <f t="shared" si="3"/>
        <v>0</v>
      </c>
      <c r="X9" s="939">
        <f t="shared" si="4"/>
        <v>0</v>
      </c>
    </row>
    <row r="10" spans="1:24" ht="29.25" customHeight="1">
      <c r="A10" s="825">
        <v>6</v>
      </c>
      <c r="B10" s="826" t="s">
        <v>629</v>
      </c>
      <c r="C10" s="832" t="s">
        <v>206</v>
      </c>
      <c r="D10" s="828">
        <v>10000</v>
      </c>
      <c r="E10" s="829">
        <v>10000</v>
      </c>
      <c r="F10" s="829">
        <v>10000</v>
      </c>
      <c r="G10" s="829">
        <v>10000</v>
      </c>
      <c r="H10" s="829">
        <v>10000</v>
      </c>
      <c r="I10" s="938">
        <v>0</v>
      </c>
      <c r="J10" s="939">
        <f t="shared" si="5"/>
        <v>0</v>
      </c>
      <c r="K10" s="828">
        <v>10000</v>
      </c>
      <c r="L10" s="856">
        <f t="shared" si="0"/>
        <v>0</v>
      </c>
      <c r="M10" s="856">
        <f t="shared" si="0"/>
        <v>0</v>
      </c>
      <c r="N10" s="856">
        <f t="shared" si="0"/>
        <v>0</v>
      </c>
      <c r="O10" s="833"/>
      <c r="P10" s="833"/>
      <c r="Q10" s="830"/>
      <c r="R10" s="828">
        <f t="shared" si="1"/>
        <v>0</v>
      </c>
      <c r="S10" s="829">
        <v>10000</v>
      </c>
      <c r="T10" s="829">
        <v>10000</v>
      </c>
      <c r="U10" s="829">
        <v>10000</v>
      </c>
      <c r="V10" s="829">
        <f t="shared" si="2"/>
        <v>10000</v>
      </c>
      <c r="W10" s="829">
        <f t="shared" si="3"/>
        <v>0</v>
      </c>
      <c r="X10" s="939">
        <f t="shared" si="4"/>
        <v>0</v>
      </c>
    </row>
    <row r="11" spans="1:24" ht="29.25" customHeight="1">
      <c r="A11" s="825">
        <v>7</v>
      </c>
      <c r="B11" s="834" t="s">
        <v>537</v>
      </c>
      <c r="C11" s="832" t="s">
        <v>206</v>
      </c>
      <c r="D11" s="807">
        <v>9563541</v>
      </c>
      <c r="E11" s="856">
        <v>9563541</v>
      </c>
      <c r="F11" s="856">
        <v>9563541</v>
      </c>
      <c r="G11" s="856">
        <v>9563541</v>
      </c>
      <c r="H11" s="856">
        <v>9563541</v>
      </c>
      <c r="I11" s="938">
        <v>9563541</v>
      </c>
      <c r="J11" s="939">
        <f t="shared" si="5"/>
        <v>1</v>
      </c>
      <c r="K11" s="807">
        <v>0</v>
      </c>
      <c r="L11" s="856">
        <f t="shared" si="0"/>
        <v>0</v>
      </c>
      <c r="M11" s="856">
        <f t="shared" si="0"/>
        <v>0</v>
      </c>
      <c r="N11" s="856">
        <f t="shared" si="0"/>
        <v>0</v>
      </c>
      <c r="O11" s="833"/>
      <c r="P11" s="833"/>
      <c r="Q11" s="830"/>
      <c r="R11" s="828">
        <f t="shared" si="1"/>
        <v>9563541</v>
      </c>
      <c r="S11" s="829">
        <v>9563541</v>
      </c>
      <c r="T11" s="829">
        <v>9563541</v>
      </c>
      <c r="U11" s="829">
        <v>9563541</v>
      </c>
      <c r="V11" s="829">
        <f t="shared" si="2"/>
        <v>9563541</v>
      </c>
      <c r="W11" s="829">
        <f t="shared" si="3"/>
        <v>9563541</v>
      </c>
      <c r="X11" s="939">
        <f t="shared" si="4"/>
        <v>1</v>
      </c>
    </row>
    <row r="12" spans="1:24" ht="29.25" customHeight="1">
      <c r="A12" s="825">
        <v>8</v>
      </c>
      <c r="B12" s="834" t="s">
        <v>538</v>
      </c>
      <c r="C12" s="832" t="s">
        <v>206</v>
      </c>
      <c r="D12" s="807">
        <v>500000</v>
      </c>
      <c r="E12" s="856">
        <v>500000</v>
      </c>
      <c r="F12" s="856">
        <v>500000</v>
      </c>
      <c r="G12" s="856">
        <v>500000</v>
      </c>
      <c r="H12" s="856">
        <f>500000+564619+48241</f>
        <v>1112860</v>
      </c>
      <c r="I12" s="938">
        <v>1112860</v>
      </c>
      <c r="J12" s="939">
        <f t="shared" si="5"/>
        <v>1</v>
      </c>
      <c r="K12" s="807">
        <v>500000</v>
      </c>
      <c r="L12" s="856">
        <f t="shared" si="0"/>
        <v>0</v>
      </c>
      <c r="M12" s="856">
        <f t="shared" si="0"/>
        <v>0</v>
      </c>
      <c r="N12" s="856">
        <f t="shared" si="0"/>
        <v>0</v>
      </c>
      <c r="O12" s="833"/>
      <c r="P12" s="833"/>
      <c r="Q12" s="830"/>
      <c r="R12" s="828">
        <f t="shared" si="1"/>
        <v>0</v>
      </c>
      <c r="S12" s="829">
        <v>500000</v>
      </c>
      <c r="T12" s="829">
        <v>500000</v>
      </c>
      <c r="U12" s="829">
        <v>500000</v>
      </c>
      <c r="V12" s="829">
        <f t="shared" si="2"/>
        <v>1112860</v>
      </c>
      <c r="W12" s="829">
        <f t="shared" si="3"/>
        <v>1112860</v>
      </c>
      <c r="X12" s="939">
        <f t="shared" si="4"/>
        <v>1</v>
      </c>
    </row>
    <row r="13" spans="1:24" ht="43.5" customHeight="1">
      <c r="A13" s="825">
        <v>9</v>
      </c>
      <c r="B13" s="834" t="s">
        <v>539</v>
      </c>
      <c r="C13" s="832" t="s">
        <v>205</v>
      </c>
      <c r="D13" s="807">
        <v>3122312</v>
      </c>
      <c r="E13" s="856">
        <v>3122312</v>
      </c>
      <c r="F13" s="856">
        <v>3122312</v>
      </c>
      <c r="G13" s="856">
        <v>3122312</v>
      </c>
      <c r="H13" s="856">
        <v>3122312</v>
      </c>
      <c r="I13" s="938">
        <v>2606300</v>
      </c>
      <c r="J13" s="939">
        <f t="shared" si="5"/>
        <v>0.8347340048015701</v>
      </c>
      <c r="K13" s="807">
        <v>3122312</v>
      </c>
      <c r="L13" s="856">
        <v>3122312</v>
      </c>
      <c r="M13" s="856">
        <v>3122312</v>
      </c>
      <c r="N13" s="856">
        <v>3122312</v>
      </c>
      <c r="O13" s="856">
        <v>3122312</v>
      </c>
      <c r="P13" s="938">
        <v>2606300</v>
      </c>
      <c r="Q13" s="939">
        <f>+P13/O13</f>
        <v>0.8347340048015701</v>
      </c>
      <c r="R13" s="828">
        <f t="shared" si="1"/>
        <v>0</v>
      </c>
      <c r="S13" s="829">
        <f aca="true" t="shared" si="6" ref="S13:U14">+E13-L13</f>
        <v>0</v>
      </c>
      <c r="T13" s="829">
        <f t="shared" si="6"/>
        <v>0</v>
      </c>
      <c r="U13" s="829">
        <f t="shared" si="6"/>
        <v>0</v>
      </c>
      <c r="V13" s="829">
        <f t="shared" si="2"/>
        <v>0</v>
      </c>
      <c r="W13" s="829">
        <f t="shared" si="3"/>
        <v>0</v>
      </c>
      <c r="X13" s="939"/>
    </row>
    <row r="14" spans="1:24" ht="43.5" customHeight="1">
      <c r="A14" s="825">
        <v>10</v>
      </c>
      <c r="B14" s="834" t="s">
        <v>703</v>
      </c>
      <c r="C14" s="832" t="s">
        <v>206</v>
      </c>
      <c r="D14" s="806">
        <v>24439880</v>
      </c>
      <c r="E14" s="840">
        <v>24439880</v>
      </c>
      <c r="F14" s="840">
        <v>24439880</v>
      </c>
      <c r="G14" s="840">
        <v>24439880</v>
      </c>
      <c r="H14" s="938">
        <v>24439880</v>
      </c>
      <c r="I14" s="938">
        <v>23658189</v>
      </c>
      <c r="J14" s="939">
        <f t="shared" si="5"/>
        <v>0.9680157594881807</v>
      </c>
      <c r="K14" s="835">
        <v>19340856</v>
      </c>
      <c r="L14" s="833">
        <v>19340856</v>
      </c>
      <c r="M14" s="833">
        <v>19340856</v>
      </c>
      <c r="N14" s="833">
        <v>19340856</v>
      </c>
      <c r="O14" s="833">
        <v>19340856</v>
      </c>
      <c r="P14" s="833">
        <v>18266361</v>
      </c>
      <c r="Q14" s="939">
        <f>+P14/O14</f>
        <v>0.9444442893323853</v>
      </c>
      <c r="R14" s="835">
        <f t="shared" si="1"/>
        <v>5099024</v>
      </c>
      <c r="S14" s="829">
        <f t="shared" si="6"/>
        <v>5099024</v>
      </c>
      <c r="T14" s="829">
        <f t="shared" si="6"/>
        <v>5099024</v>
      </c>
      <c r="U14" s="829">
        <f t="shared" si="6"/>
        <v>5099024</v>
      </c>
      <c r="V14" s="829">
        <f t="shared" si="2"/>
        <v>5099024</v>
      </c>
      <c r="W14" s="829">
        <f>+I14-P14</f>
        <v>5391828</v>
      </c>
      <c r="X14" s="939">
        <f t="shared" si="4"/>
        <v>1.0574235383085078</v>
      </c>
    </row>
    <row r="15" spans="1:24" ht="43.5" customHeight="1">
      <c r="A15" s="825">
        <v>11</v>
      </c>
      <c r="B15" s="834" t="s">
        <v>632</v>
      </c>
      <c r="C15" s="832" t="s">
        <v>206</v>
      </c>
      <c r="D15" s="806">
        <v>1654681</v>
      </c>
      <c r="E15" s="840">
        <v>1654681</v>
      </c>
      <c r="F15" s="840">
        <v>1654681</v>
      </c>
      <c r="G15" s="840">
        <v>1654681</v>
      </c>
      <c r="H15" s="938">
        <f>1654681-905380</f>
        <v>749301</v>
      </c>
      <c r="I15" s="938">
        <v>749300</v>
      </c>
      <c r="J15" s="939">
        <f t="shared" si="5"/>
        <v>0.9999986654228408</v>
      </c>
      <c r="K15" s="806">
        <v>1654681</v>
      </c>
      <c r="L15" s="856">
        <f aca="true" t="shared" si="7" ref="L15:N18">+E15-S15</f>
        <v>0</v>
      </c>
      <c r="M15" s="856">
        <f t="shared" si="7"/>
        <v>0</v>
      </c>
      <c r="N15" s="856">
        <f t="shared" si="7"/>
        <v>0</v>
      </c>
      <c r="O15" s="833"/>
      <c r="P15" s="833"/>
      <c r="Q15" s="830"/>
      <c r="R15" s="835"/>
      <c r="S15" s="829">
        <v>1654681</v>
      </c>
      <c r="T15" s="829">
        <v>1654681</v>
      </c>
      <c r="U15" s="829">
        <v>1654681</v>
      </c>
      <c r="V15" s="829">
        <f t="shared" si="2"/>
        <v>749301</v>
      </c>
      <c r="W15" s="829">
        <f aca="true" t="shared" si="8" ref="W15:W24">+I15-P15</f>
        <v>749300</v>
      </c>
      <c r="X15" s="939">
        <f t="shared" si="4"/>
        <v>0.9999986654228408</v>
      </c>
    </row>
    <row r="16" spans="1:24" ht="43.5" customHeight="1">
      <c r="A16" s="825">
        <v>12</v>
      </c>
      <c r="B16" s="826" t="s">
        <v>633</v>
      </c>
      <c r="C16" s="836" t="s">
        <v>206</v>
      </c>
      <c r="D16" s="806">
        <v>1536700</v>
      </c>
      <c r="E16" s="840">
        <v>1536700</v>
      </c>
      <c r="F16" s="840">
        <v>1536700</v>
      </c>
      <c r="G16" s="840">
        <v>1536700</v>
      </c>
      <c r="H16" s="938">
        <f>1536700+60000+16200</f>
        <v>1612900</v>
      </c>
      <c r="I16" s="938">
        <v>1612900</v>
      </c>
      <c r="J16" s="939">
        <f t="shared" si="5"/>
        <v>1</v>
      </c>
      <c r="K16" s="806">
        <v>1536700</v>
      </c>
      <c r="L16" s="856">
        <f t="shared" si="7"/>
        <v>0</v>
      </c>
      <c r="M16" s="856">
        <f t="shared" si="7"/>
        <v>0</v>
      </c>
      <c r="N16" s="856">
        <f t="shared" si="7"/>
        <v>0</v>
      </c>
      <c r="O16" s="833"/>
      <c r="P16" s="833"/>
      <c r="Q16" s="830"/>
      <c r="R16" s="835"/>
      <c r="S16" s="829">
        <v>1536700</v>
      </c>
      <c r="T16" s="829">
        <v>1536700</v>
      </c>
      <c r="U16" s="829">
        <v>1536700</v>
      </c>
      <c r="V16" s="829">
        <f t="shared" si="2"/>
        <v>1612900</v>
      </c>
      <c r="W16" s="829">
        <f t="shared" si="8"/>
        <v>1612900</v>
      </c>
      <c r="X16" s="939">
        <f t="shared" si="4"/>
        <v>1</v>
      </c>
    </row>
    <row r="17" spans="1:24" ht="43.5" customHeight="1">
      <c r="A17" s="825">
        <v>13</v>
      </c>
      <c r="B17" s="826" t="s">
        <v>634</v>
      </c>
      <c r="C17" s="832" t="s">
        <v>206</v>
      </c>
      <c r="D17" s="806">
        <v>2500000</v>
      </c>
      <c r="E17" s="840">
        <v>3000000</v>
      </c>
      <c r="F17" s="840">
        <v>3000000</v>
      </c>
      <c r="G17" s="840">
        <v>3000000</v>
      </c>
      <c r="H17" s="938">
        <v>3000000</v>
      </c>
      <c r="I17" s="938">
        <v>0</v>
      </c>
      <c r="J17" s="939">
        <f t="shared" si="5"/>
        <v>0</v>
      </c>
      <c r="K17" s="806">
        <v>2500000</v>
      </c>
      <c r="L17" s="856">
        <f t="shared" si="7"/>
        <v>0</v>
      </c>
      <c r="M17" s="856">
        <f t="shared" si="7"/>
        <v>0</v>
      </c>
      <c r="N17" s="856">
        <f t="shared" si="7"/>
        <v>0</v>
      </c>
      <c r="O17" s="833"/>
      <c r="P17" s="833"/>
      <c r="Q17" s="830"/>
      <c r="R17" s="835"/>
      <c r="S17" s="833">
        <v>3000000</v>
      </c>
      <c r="T17" s="833">
        <v>3000000</v>
      </c>
      <c r="U17" s="833">
        <v>3000000</v>
      </c>
      <c r="V17" s="829">
        <f t="shared" si="2"/>
        <v>3000000</v>
      </c>
      <c r="W17" s="829">
        <f t="shared" si="8"/>
        <v>0</v>
      </c>
      <c r="X17" s="939">
        <f t="shared" si="4"/>
        <v>0</v>
      </c>
    </row>
    <row r="18" spans="1:24" ht="43.5" customHeight="1">
      <c r="A18" s="825">
        <v>14</v>
      </c>
      <c r="B18" s="834" t="s">
        <v>635</v>
      </c>
      <c r="C18" s="832" t="s">
        <v>206</v>
      </c>
      <c r="D18" s="806">
        <v>254000</v>
      </c>
      <c r="E18" s="840">
        <v>254000</v>
      </c>
      <c r="F18" s="840">
        <v>254000</v>
      </c>
      <c r="G18" s="840">
        <v>254000</v>
      </c>
      <c r="H18" s="938">
        <v>254000</v>
      </c>
      <c r="I18" s="938">
        <v>179850</v>
      </c>
      <c r="J18" s="939">
        <f t="shared" si="5"/>
        <v>0.7080708661417323</v>
      </c>
      <c r="K18" s="806">
        <v>254000</v>
      </c>
      <c r="L18" s="856">
        <f t="shared" si="7"/>
        <v>0</v>
      </c>
      <c r="M18" s="856">
        <f t="shared" si="7"/>
        <v>0</v>
      </c>
      <c r="N18" s="856">
        <f t="shared" si="7"/>
        <v>0</v>
      </c>
      <c r="O18" s="833"/>
      <c r="P18" s="833"/>
      <c r="Q18" s="830"/>
      <c r="R18" s="835"/>
      <c r="S18" s="833">
        <v>254000</v>
      </c>
      <c r="T18" s="833">
        <v>254000</v>
      </c>
      <c r="U18" s="833">
        <v>254000</v>
      </c>
      <c r="V18" s="829">
        <f t="shared" si="2"/>
        <v>254000</v>
      </c>
      <c r="W18" s="829">
        <f t="shared" si="8"/>
        <v>179850</v>
      </c>
      <c r="X18" s="939">
        <f t="shared" si="4"/>
        <v>0.7080708661417323</v>
      </c>
    </row>
    <row r="19" spans="1:24" ht="43.5" customHeight="1">
      <c r="A19" s="825">
        <v>15</v>
      </c>
      <c r="B19" s="834" t="s">
        <v>666</v>
      </c>
      <c r="C19" s="832" t="s">
        <v>206</v>
      </c>
      <c r="D19" s="806"/>
      <c r="E19" s="840"/>
      <c r="F19" s="840"/>
      <c r="G19" s="840">
        <v>7000000</v>
      </c>
      <c r="H19" s="938">
        <v>7000000</v>
      </c>
      <c r="I19" s="938">
        <v>0</v>
      </c>
      <c r="J19" s="939">
        <f t="shared" si="5"/>
        <v>0</v>
      </c>
      <c r="K19" s="835"/>
      <c r="L19" s="833"/>
      <c r="M19" s="833"/>
      <c r="N19" s="833"/>
      <c r="O19" s="833"/>
      <c r="P19" s="833"/>
      <c r="Q19" s="830"/>
      <c r="R19" s="835"/>
      <c r="S19" s="833"/>
      <c r="T19" s="833"/>
      <c r="U19" s="833">
        <f>+G19-N19</f>
        <v>7000000</v>
      </c>
      <c r="V19" s="829">
        <f t="shared" si="2"/>
        <v>7000000</v>
      </c>
      <c r="W19" s="829">
        <f t="shared" si="8"/>
        <v>0</v>
      </c>
      <c r="X19" s="939">
        <f t="shared" si="4"/>
        <v>0</v>
      </c>
    </row>
    <row r="20" spans="1:24" ht="43.5" customHeight="1">
      <c r="A20" s="825">
        <v>16</v>
      </c>
      <c r="B20" s="837" t="s">
        <v>667</v>
      </c>
      <c r="C20" s="832" t="s">
        <v>206</v>
      </c>
      <c r="D20" s="807"/>
      <c r="E20" s="856"/>
      <c r="F20" s="856"/>
      <c r="G20" s="856">
        <f>14998400-622000+14788223</f>
        <v>29164623</v>
      </c>
      <c r="H20" s="856">
        <f>14998400-622000+14788223</f>
        <v>29164623</v>
      </c>
      <c r="I20" s="938"/>
      <c r="J20" s="939">
        <f t="shared" si="5"/>
        <v>0</v>
      </c>
      <c r="K20" s="835"/>
      <c r="L20" s="833"/>
      <c r="M20" s="833"/>
      <c r="N20" s="838">
        <v>14998400</v>
      </c>
      <c r="O20" s="838">
        <v>14998400</v>
      </c>
      <c r="P20" s="833"/>
      <c r="Q20" s="830"/>
      <c r="R20" s="835"/>
      <c r="S20" s="833"/>
      <c r="T20" s="833"/>
      <c r="U20" s="840">
        <f>+G20-N20</f>
        <v>14166223</v>
      </c>
      <c r="V20" s="829">
        <f t="shared" si="2"/>
        <v>14166223</v>
      </c>
      <c r="W20" s="829">
        <f t="shared" si="8"/>
        <v>0</v>
      </c>
      <c r="X20" s="939">
        <f t="shared" si="4"/>
        <v>0</v>
      </c>
    </row>
    <row r="21" spans="1:24" ht="43.5" customHeight="1">
      <c r="A21" s="825">
        <v>17</v>
      </c>
      <c r="B21" s="837" t="s">
        <v>673</v>
      </c>
      <c r="C21" s="832" t="s">
        <v>206</v>
      </c>
      <c r="D21" s="807"/>
      <c r="E21" s="856"/>
      <c r="F21" s="856"/>
      <c r="G21" s="856"/>
      <c r="H21" s="856">
        <v>493471</v>
      </c>
      <c r="I21" s="938">
        <v>493471</v>
      </c>
      <c r="J21" s="939">
        <f t="shared" si="5"/>
        <v>1</v>
      </c>
      <c r="K21" s="835"/>
      <c r="L21" s="833"/>
      <c r="M21" s="833"/>
      <c r="N21" s="838"/>
      <c r="O21" s="833"/>
      <c r="P21" s="833"/>
      <c r="Q21" s="830"/>
      <c r="R21" s="835"/>
      <c r="S21" s="833"/>
      <c r="T21" s="833"/>
      <c r="U21" s="840"/>
      <c r="V21" s="829">
        <f t="shared" si="2"/>
        <v>493471</v>
      </c>
      <c r="W21" s="829">
        <f t="shared" si="8"/>
        <v>493471</v>
      </c>
      <c r="X21" s="939">
        <f t="shared" si="4"/>
        <v>1</v>
      </c>
    </row>
    <row r="22" spans="1:24" ht="43.5" customHeight="1">
      <c r="A22" s="825">
        <v>18</v>
      </c>
      <c r="B22" s="837" t="s">
        <v>674</v>
      </c>
      <c r="C22" s="832" t="s">
        <v>206</v>
      </c>
      <c r="D22" s="807"/>
      <c r="E22" s="856"/>
      <c r="F22" s="856"/>
      <c r="G22" s="856"/>
      <c r="H22" s="856">
        <v>49999</v>
      </c>
      <c r="I22" s="938">
        <v>49999</v>
      </c>
      <c r="J22" s="939">
        <f t="shared" si="5"/>
        <v>1</v>
      </c>
      <c r="K22" s="835"/>
      <c r="L22" s="833"/>
      <c r="M22" s="833"/>
      <c r="N22" s="838"/>
      <c r="O22" s="833"/>
      <c r="P22" s="833"/>
      <c r="Q22" s="830"/>
      <c r="R22" s="835"/>
      <c r="S22" s="833"/>
      <c r="T22" s="833"/>
      <c r="U22" s="840"/>
      <c r="V22" s="829">
        <f t="shared" si="2"/>
        <v>49999</v>
      </c>
      <c r="W22" s="829">
        <f t="shared" si="8"/>
        <v>49999</v>
      </c>
      <c r="X22" s="939">
        <f t="shared" si="4"/>
        <v>1</v>
      </c>
    </row>
    <row r="23" spans="1:24" ht="43.5" customHeight="1">
      <c r="A23" s="825">
        <v>19</v>
      </c>
      <c r="B23" s="837" t="s">
        <v>675</v>
      </c>
      <c r="C23" s="832" t="s">
        <v>206</v>
      </c>
      <c r="D23" s="807"/>
      <c r="E23" s="856"/>
      <c r="F23" s="856"/>
      <c r="G23" s="856"/>
      <c r="H23" s="856">
        <f>70787+19112</f>
        <v>89899</v>
      </c>
      <c r="I23" s="938">
        <v>89899</v>
      </c>
      <c r="J23" s="939">
        <f t="shared" si="5"/>
        <v>1</v>
      </c>
      <c r="K23" s="835"/>
      <c r="L23" s="833"/>
      <c r="M23" s="833"/>
      <c r="N23" s="838"/>
      <c r="O23" s="833"/>
      <c r="P23" s="833"/>
      <c r="Q23" s="830"/>
      <c r="R23" s="835"/>
      <c r="S23" s="833"/>
      <c r="T23" s="833"/>
      <c r="U23" s="840"/>
      <c r="V23" s="829">
        <f t="shared" si="2"/>
        <v>89899</v>
      </c>
      <c r="W23" s="829">
        <f t="shared" si="8"/>
        <v>89899</v>
      </c>
      <c r="X23" s="939">
        <f t="shared" si="4"/>
        <v>1</v>
      </c>
    </row>
    <row r="24" spans="1:24" ht="43.5" customHeight="1" thickBot="1">
      <c r="A24" s="825">
        <v>20</v>
      </c>
      <c r="B24" s="837" t="s">
        <v>676</v>
      </c>
      <c r="C24" s="832" t="s">
        <v>206</v>
      </c>
      <c r="D24" s="807"/>
      <c r="E24" s="856"/>
      <c r="F24" s="856"/>
      <c r="G24" s="856"/>
      <c r="H24" s="856">
        <f>5828300+1573641</f>
        <v>7401941</v>
      </c>
      <c r="I24" s="938">
        <v>7401941</v>
      </c>
      <c r="J24" s="939">
        <f t="shared" si="5"/>
        <v>1</v>
      </c>
      <c r="K24" s="835"/>
      <c r="L24" s="833"/>
      <c r="M24" s="833"/>
      <c r="N24" s="838"/>
      <c r="O24" s="833"/>
      <c r="P24" s="833"/>
      <c r="Q24" s="830"/>
      <c r="R24" s="835"/>
      <c r="S24" s="833"/>
      <c r="T24" s="833"/>
      <c r="U24" s="840"/>
      <c r="V24" s="829">
        <f t="shared" si="2"/>
        <v>7401941</v>
      </c>
      <c r="W24" s="829">
        <f t="shared" si="8"/>
        <v>7401941</v>
      </c>
      <c r="X24" s="939">
        <f t="shared" si="4"/>
        <v>1</v>
      </c>
    </row>
    <row r="25" spans="1:24" ht="43.5" customHeight="1" hidden="1">
      <c r="A25" s="825"/>
      <c r="B25" s="837"/>
      <c r="C25" s="832"/>
      <c r="D25" s="807"/>
      <c r="E25" s="856"/>
      <c r="F25" s="856"/>
      <c r="G25" s="856"/>
      <c r="H25" s="856"/>
      <c r="I25" s="938"/>
      <c r="J25" s="939" t="e">
        <f t="shared" si="5"/>
        <v>#DIV/0!</v>
      </c>
      <c r="K25" s="835"/>
      <c r="L25" s="833"/>
      <c r="M25" s="833"/>
      <c r="N25" s="838"/>
      <c r="O25" s="833"/>
      <c r="P25" s="833"/>
      <c r="Q25" s="830"/>
      <c r="R25" s="835"/>
      <c r="S25" s="833"/>
      <c r="T25" s="833"/>
      <c r="U25" s="840"/>
      <c r="V25" s="840"/>
      <c r="W25" s="829"/>
      <c r="X25" s="830"/>
    </row>
    <row r="26" spans="1:24" ht="43.5" customHeight="1" hidden="1">
      <c r="A26" s="825"/>
      <c r="B26" s="837"/>
      <c r="C26" s="832"/>
      <c r="D26" s="807"/>
      <c r="E26" s="856"/>
      <c r="F26" s="856"/>
      <c r="G26" s="856"/>
      <c r="H26" s="856"/>
      <c r="I26" s="938"/>
      <c r="J26" s="939" t="e">
        <f t="shared" si="5"/>
        <v>#DIV/0!</v>
      </c>
      <c r="K26" s="835"/>
      <c r="L26" s="833"/>
      <c r="M26" s="833"/>
      <c r="N26" s="838"/>
      <c r="O26" s="833"/>
      <c r="P26" s="833"/>
      <c r="Q26" s="830"/>
      <c r="R26" s="835"/>
      <c r="S26" s="833"/>
      <c r="T26" s="833"/>
      <c r="U26" s="840"/>
      <c r="V26" s="840"/>
      <c r="W26" s="829"/>
      <c r="X26" s="830"/>
    </row>
    <row r="27" spans="1:24" ht="43.5" customHeight="1" hidden="1">
      <c r="A27" s="825"/>
      <c r="B27" s="837"/>
      <c r="C27" s="832"/>
      <c r="D27" s="807"/>
      <c r="E27" s="856"/>
      <c r="F27" s="856"/>
      <c r="G27" s="856"/>
      <c r="H27" s="856"/>
      <c r="I27" s="938"/>
      <c r="J27" s="939" t="e">
        <f t="shared" si="5"/>
        <v>#DIV/0!</v>
      </c>
      <c r="K27" s="835"/>
      <c r="L27" s="833"/>
      <c r="M27" s="833"/>
      <c r="N27" s="838"/>
      <c r="O27" s="833"/>
      <c r="P27" s="833"/>
      <c r="Q27" s="830"/>
      <c r="R27" s="835"/>
      <c r="S27" s="833"/>
      <c r="T27" s="833"/>
      <c r="U27" s="840"/>
      <c r="V27" s="840"/>
      <c r="W27" s="829"/>
      <c r="X27" s="830"/>
    </row>
    <row r="28" spans="1:24" ht="43.5" customHeight="1" hidden="1">
      <c r="A28" s="825"/>
      <c r="B28" s="837"/>
      <c r="C28" s="832"/>
      <c r="D28" s="807"/>
      <c r="E28" s="856"/>
      <c r="F28" s="856"/>
      <c r="G28" s="856"/>
      <c r="H28" s="856"/>
      <c r="I28" s="938"/>
      <c r="J28" s="939" t="e">
        <f t="shared" si="5"/>
        <v>#DIV/0!</v>
      </c>
      <c r="K28" s="835"/>
      <c r="L28" s="833"/>
      <c r="M28" s="833"/>
      <c r="N28" s="838"/>
      <c r="O28" s="833"/>
      <c r="P28" s="833"/>
      <c r="Q28" s="830"/>
      <c r="R28" s="835"/>
      <c r="S28" s="833"/>
      <c r="T28" s="833"/>
      <c r="U28" s="840"/>
      <c r="V28" s="840"/>
      <c r="W28" s="829"/>
      <c r="X28" s="830"/>
    </row>
    <row r="29" spans="1:24" ht="29.25" customHeight="1" hidden="1" thickBot="1">
      <c r="A29" s="825"/>
      <c r="B29" s="839"/>
      <c r="C29" s="832" t="s">
        <v>206</v>
      </c>
      <c r="D29" s="806"/>
      <c r="E29" s="840"/>
      <c r="F29" s="840"/>
      <c r="G29" s="840"/>
      <c r="H29" s="938"/>
      <c r="I29" s="938">
        <v>0</v>
      </c>
      <c r="J29" s="939" t="e">
        <f t="shared" si="5"/>
        <v>#DIV/0!</v>
      </c>
      <c r="K29" s="835"/>
      <c r="L29" s="833"/>
      <c r="M29" s="833"/>
      <c r="N29" s="841"/>
      <c r="O29" s="833"/>
      <c r="P29" s="833"/>
      <c r="Q29" s="830" t="e">
        <f>N29/L29</f>
        <v>#DIV/0!</v>
      </c>
      <c r="R29" s="835"/>
      <c r="S29" s="833"/>
      <c r="T29" s="833"/>
      <c r="U29" s="840">
        <f>G29-N29</f>
        <v>0</v>
      </c>
      <c r="V29" s="840"/>
      <c r="W29" s="829" t="e">
        <f>+J29-P29</f>
        <v>#DIV/0!</v>
      </c>
      <c r="X29" s="830" t="e">
        <f>U29/S29</f>
        <v>#DIV/0!</v>
      </c>
    </row>
    <row r="30" spans="1:25" ht="31.5" customHeight="1" thickBot="1">
      <c r="A30" s="1621" t="s">
        <v>1</v>
      </c>
      <c r="B30" s="1624"/>
      <c r="C30" s="815"/>
      <c r="D30" s="842">
        <f>SUM(D5:D18)</f>
        <v>44154059</v>
      </c>
      <c r="E30" s="843">
        <f>SUM(E5:E18)</f>
        <v>44654059</v>
      </c>
      <c r="F30" s="843">
        <f>SUM(F5:F18)</f>
        <v>44654059</v>
      </c>
      <c r="G30" s="843">
        <f>SUM(G5:G20)</f>
        <v>80818682</v>
      </c>
      <c r="H30" s="940">
        <f>SUM(H5:H29)</f>
        <v>88637672</v>
      </c>
      <c r="I30" s="843">
        <v>47586195</v>
      </c>
      <c r="J30" s="941">
        <f t="shared" si="5"/>
        <v>0.5368619676744217</v>
      </c>
      <c r="K30" s="842">
        <f aca="true" t="shared" si="9" ref="K30:P30">SUM(K5:K29)</f>
        <v>29491494</v>
      </c>
      <c r="L30" s="843">
        <f>SUM(L5:L29)</f>
        <v>22463168</v>
      </c>
      <c r="M30" s="843">
        <f>SUM(M5:M29)</f>
        <v>22463168</v>
      </c>
      <c r="N30" s="843">
        <f t="shared" si="9"/>
        <v>37461568</v>
      </c>
      <c r="O30" s="843">
        <f t="shared" si="9"/>
        <v>37461568</v>
      </c>
      <c r="P30" s="843">
        <f t="shared" si="9"/>
        <v>20872661</v>
      </c>
      <c r="Q30" s="941">
        <f>+P30/O30</f>
        <v>0.5571753163135083</v>
      </c>
      <c r="R30" s="842">
        <f>SUM(R5:R29)</f>
        <v>14662565</v>
      </c>
      <c r="S30" s="843">
        <f>SUM(S5:S29)</f>
        <v>22190891</v>
      </c>
      <c r="T30" s="843">
        <f>SUM(T5:T29)</f>
        <v>22190891</v>
      </c>
      <c r="U30" s="843">
        <f>SUM(U5:U29)</f>
        <v>43357114</v>
      </c>
      <c r="V30" s="843">
        <f>SUM(V5:V29)</f>
        <v>51176104</v>
      </c>
      <c r="W30" s="843">
        <f>SUM(W5:W24)</f>
        <v>26713534</v>
      </c>
      <c r="X30" s="941">
        <f>+W30/V30</f>
        <v>0.5219923345473896</v>
      </c>
      <c r="Y30" s="844"/>
    </row>
    <row r="31" spans="1:25" ht="15.75">
      <c r="A31" s="808"/>
      <c r="B31" s="808"/>
      <c r="C31" s="845"/>
      <c r="D31" s="846"/>
      <c r="E31" s="846"/>
      <c r="F31" s="846"/>
      <c r="G31" s="846"/>
      <c r="H31" s="847"/>
      <c r="I31" s="846"/>
      <c r="J31" s="846"/>
      <c r="K31" s="846"/>
      <c r="L31" s="846"/>
      <c r="M31" s="846"/>
      <c r="N31" s="846"/>
      <c r="O31" s="846"/>
      <c r="P31" s="846"/>
      <c r="Q31" s="846"/>
      <c r="R31" s="846"/>
      <c r="T31" s="844"/>
      <c r="W31" s="844"/>
      <c r="Y31" s="844"/>
    </row>
    <row r="32" spans="1:23" ht="15.75">
      <c r="A32" s="808"/>
      <c r="B32" s="811"/>
      <c r="C32" s="845"/>
      <c r="D32" s="848" t="str">
        <f>IF(K30+R30=D30," ","HIBA-NEM EGYENLŐ")</f>
        <v> </v>
      </c>
      <c r="E32" s="846"/>
      <c r="F32" s="846"/>
      <c r="G32" s="846"/>
      <c r="H32" s="847"/>
      <c r="I32" s="846"/>
      <c r="J32" s="846"/>
      <c r="K32" s="846"/>
      <c r="L32" s="846"/>
      <c r="M32" s="846"/>
      <c r="N32" s="846"/>
      <c r="O32" s="846"/>
      <c r="P32" s="846"/>
      <c r="Q32" s="846"/>
      <c r="R32" s="846"/>
      <c r="T32" s="844"/>
      <c r="U32" s="844"/>
      <c r="W32" s="844"/>
    </row>
    <row r="33" spans="1:18" ht="14.25">
      <c r="A33" s="1623" t="s">
        <v>59</v>
      </c>
      <c r="B33" s="1623"/>
      <c r="C33" s="1623"/>
      <c r="D33" s="1623"/>
      <c r="E33" s="1623"/>
      <c r="F33" s="1623"/>
      <c r="G33" s="1623"/>
      <c r="H33" s="1623"/>
      <c r="I33" s="1623"/>
      <c r="J33" s="1623"/>
      <c r="K33" s="1623"/>
      <c r="L33" s="1623"/>
      <c r="M33" s="1623"/>
      <c r="N33" s="1623"/>
      <c r="O33" s="1623"/>
      <c r="P33" s="1623"/>
      <c r="Q33" s="1623"/>
      <c r="R33" s="1623"/>
    </row>
    <row r="34" spans="1:18" ht="13.5" thickBot="1">
      <c r="A34" s="849"/>
      <c r="B34" s="849"/>
      <c r="D34" s="849"/>
      <c r="E34" s="849"/>
      <c r="F34" s="849"/>
      <c r="G34" s="849"/>
      <c r="H34" s="849"/>
      <c r="I34" s="849"/>
      <c r="J34" s="849"/>
      <c r="K34" s="849"/>
      <c r="L34" s="849"/>
      <c r="M34" s="849"/>
      <c r="N34" s="849"/>
      <c r="O34" s="849"/>
      <c r="P34" s="849"/>
      <c r="Q34" s="849"/>
      <c r="R34" s="849"/>
    </row>
    <row r="35" spans="1:24" ht="29.25" customHeight="1" thickBot="1">
      <c r="A35" s="813" t="s">
        <v>5</v>
      </c>
      <c r="B35" s="814" t="s">
        <v>30</v>
      </c>
      <c r="C35" s="815" t="s">
        <v>264</v>
      </c>
      <c r="D35" s="1615" t="s">
        <v>4</v>
      </c>
      <c r="E35" s="1616"/>
      <c r="F35" s="1616"/>
      <c r="G35" s="1616"/>
      <c r="H35" s="1616"/>
      <c r="I35" s="1616"/>
      <c r="J35" s="1617"/>
      <c r="K35" s="1618" t="s">
        <v>265</v>
      </c>
      <c r="L35" s="1619"/>
      <c r="M35" s="1619"/>
      <c r="N35" s="1619"/>
      <c r="O35" s="1619"/>
      <c r="P35" s="1619"/>
      <c r="Q35" s="1620"/>
      <c r="R35" s="1618" t="s">
        <v>25</v>
      </c>
      <c r="S35" s="1619"/>
      <c r="T35" s="1619"/>
      <c r="U35" s="1619"/>
      <c r="V35" s="1619"/>
      <c r="W35" s="1619"/>
      <c r="X35" s="1620"/>
    </row>
    <row r="36" spans="1:24" ht="28.5" customHeight="1" thickBot="1">
      <c r="A36" s="850"/>
      <c r="B36" s="851"/>
      <c r="C36" s="852"/>
      <c r="D36" s="885" t="s">
        <v>64</v>
      </c>
      <c r="E36" s="947" t="s">
        <v>225</v>
      </c>
      <c r="F36" s="947" t="s">
        <v>228</v>
      </c>
      <c r="G36" s="886" t="s">
        <v>230</v>
      </c>
      <c r="H36" s="886" t="s">
        <v>242</v>
      </c>
      <c r="I36" s="886" t="s">
        <v>233</v>
      </c>
      <c r="J36" s="887" t="s">
        <v>234</v>
      </c>
      <c r="K36" s="885" t="s">
        <v>64</v>
      </c>
      <c r="L36" s="947" t="s">
        <v>225</v>
      </c>
      <c r="M36" s="947" t="s">
        <v>228</v>
      </c>
      <c r="N36" s="886" t="s">
        <v>230</v>
      </c>
      <c r="O36" s="886" t="s">
        <v>242</v>
      </c>
      <c r="P36" s="886" t="s">
        <v>233</v>
      </c>
      <c r="Q36" s="887" t="s">
        <v>234</v>
      </c>
      <c r="R36" s="885" t="s">
        <v>64</v>
      </c>
      <c r="S36" s="947" t="s">
        <v>225</v>
      </c>
      <c r="T36" s="947" t="s">
        <v>228</v>
      </c>
      <c r="U36" s="886" t="s">
        <v>230</v>
      </c>
      <c r="V36" s="886" t="s">
        <v>242</v>
      </c>
      <c r="W36" s="886" t="s">
        <v>233</v>
      </c>
      <c r="X36" s="887" t="s">
        <v>234</v>
      </c>
    </row>
    <row r="37" spans="1:25" ht="29.25" customHeight="1">
      <c r="A37" s="853">
        <v>1</v>
      </c>
      <c r="B37" s="837" t="s">
        <v>540</v>
      </c>
      <c r="C37" s="832" t="s">
        <v>206</v>
      </c>
      <c r="D37" s="805">
        <v>22189156</v>
      </c>
      <c r="E37" s="942">
        <v>22189156</v>
      </c>
      <c r="F37" s="942">
        <v>22189156</v>
      </c>
      <c r="G37" s="942">
        <v>22189156</v>
      </c>
      <c r="H37" s="942">
        <f>22189156+100000</f>
        <v>22289156</v>
      </c>
      <c r="I37" s="942">
        <v>22289156</v>
      </c>
      <c r="J37" s="943">
        <f aca="true" t="shared" si="10" ref="J37:J50">+I37/H37</f>
        <v>1</v>
      </c>
      <c r="K37" s="944"/>
      <c r="L37" s="945"/>
      <c r="M37" s="945"/>
      <c r="N37" s="945"/>
      <c r="O37" s="945"/>
      <c r="P37" s="945"/>
      <c r="Q37" s="946"/>
      <c r="R37" s="805">
        <f aca="true" t="shared" si="11" ref="R37:R46">+D37-K37</f>
        <v>22189156</v>
      </c>
      <c r="S37" s="942">
        <f aca="true" t="shared" si="12" ref="S37:S46">+E37-L37</f>
        <v>22189156</v>
      </c>
      <c r="T37" s="942">
        <f aca="true" t="shared" si="13" ref="T37:T46">+F37-M37</f>
        <v>22189156</v>
      </c>
      <c r="U37" s="942">
        <f aca="true" t="shared" si="14" ref="U37:U47">G37-N37</f>
        <v>22189156</v>
      </c>
      <c r="V37" s="942">
        <f aca="true" t="shared" si="15" ref="V37:V51">+H37-O37</f>
        <v>22289156</v>
      </c>
      <c r="W37" s="942">
        <f>I37-P37</f>
        <v>22289156</v>
      </c>
      <c r="X37" s="943">
        <f aca="true" t="shared" si="16" ref="X37:X48">+W37/V37</f>
        <v>1</v>
      </c>
      <c r="Y37" s="844"/>
    </row>
    <row r="38" spans="1:25" ht="29.25" customHeight="1">
      <c r="A38" s="825">
        <v>2</v>
      </c>
      <c r="B38" s="837" t="s">
        <v>541</v>
      </c>
      <c r="C38" s="832" t="s">
        <v>206</v>
      </c>
      <c r="D38" s="807">
        <v>2540000</v>
      </c>
      <c r="E38" s="856">
        <v>2540000</v>
      </c>
      <c r="F38" s="856">
        <v>2540000</v>
      </c>
      <c r="G38" s="856">
        <v>2540000</v>
      </c>
      <c r="H38" s="856">
        <v>2540000</v>
      </c>
      <c r="I38" s="856">
        <v>2380482</v>
      </c>
      <c r="J38" s="939">
        <f t="shared" si="10"/>
        <v>0.9371976377952755</v>
      </c>
      <c r="K38" s="835"/>
      <c r="L38" s="833"/>
      <c r="M38" s="833"/>
      <c r="N38" s="833"/>
      <c r="O38" s="833"/>
      <c r="P38" s="833"/>
      <c r="Q38" s="830"/>
      <c r="R38" s="807">
        <f t="shared" si="11"/>
        <v>2540000</v>
      </c>
      <c r="S38" s="856">
        <f t="shared" si="12"/>
        <v>2540000</v>
      </c>
      <c r="T38" s="856">
        <f t="shared" si="13"/>
        <v>2540000</v>
      </c>
      <c r="U38" s="856">
        <f t="shared" si="14"/>
        <v>2540000</v>
      </c>
      <c r="V38" s="856">
        <f t="shared" si="15"/>
        <v>2540000</v>
      </c>
      <c r="W38" s="856">
        <f>I38-P38</f>
        <v>2380482</v>
      </c>
      <c r="X38" s="939">
        <f t="shared" si="16"/>
        <v>0.9371976377952755</v>
      </c>
      <c r="Y38" s="844"/>
    </row>
    <row r="39" spans="1:24" ht="29.25" customHeight="1">
      <c r="A39" s="825">
        <v>3</v>
      </c>
      <c r="B39" s="837" t="s">
        <v>631</v>
      </c>
      <c r="C39" s="832" t="s">
        <v>206</v>
      </c>
      <c r="D39" s="807">
        <v>2633600</v>
      </c>
      <c r="E39" s="856">
        <v>2633600</v>
      </c>
      <c r="F39" s="856">
        <v>2633600</v>
      </c>
      <c r="G39" s="856">
        <v>2633600</v>
      </c>
      <c r="H39" s="856">
        <v>2633600</v>
      </c>
      <c r="I39" s="856">
        <v>954362</v>
      </c>
      <c r="J39" s="939">
        <f t="shared" si="10"/>
        <v>0.36237925273390037</v>
      </c>
      <c r="K39" s="835"/>
      <c r="L39" s="833"/>
      <c r="M39" s="833"/>
      <c r="N39" s="833"/>
      <c r="O39" s="833"/>
      <c r="P39" s="833"/>
      <c r="Q39" s="830"/>
      <c r="R39" s="807">
        <f t="shared" si="11"/>
        <v>2633600</v>
      </c>
      <c r="S39" s="856">
        <f t="shared" si="12"/>
        <v>2633600</v>
      </c>
      <c r="T39" s="856">
        <f t="shared" si="13"/>
        <v>2633600</v>
      </c>
      <c r="U39" s="856">
        <f t="shared" si="14"/>
        <v>2633600</v>
      </c>
      <c r="V39" s="856">
        <f t="shared" si="15"/>
        <v>2633600</v>
      </c>
      <c r="W39" s="856">
        <f>I39-P39</f>
        <v>954362</v>
      </c>
      <c r="X39" s="939">
        <f t="shared" si="16"/>
        <v>0.36237925273390037</v>
      </c>
    </row>
    <row r="40" spans="1:24" ht="29.25" customHeight="1">
      <c r="A40" s="825">
        <v>4</v>
      </c>
      <c r="B40" s="837" t="s">
        <v>542</v>
      </c>
      <c r="C40" s="836" t="s">
        <v>206</v>
      </c>
      <c r="D40" s="807">
        <v>32313072</v>
      </c>
      <c r="E40" s="856">
        <v>32313072</v>
      </c>
      <c r="F40" s="856">
        <v>32313072</v>
      </c>
      <c r="G40" s="856">
        <v>32313072</v>
      </c>
      <c r="H40" s="856">
        <f>32313072+228600</f>
        <v>32541672</v>
      </c>
      <c r="I40" s="856">
        <v>32541672</v>
      </c>
      <c r="J40" s="939">
        <f t="shared" si="10"/>
        <v>1</v>
      </c>
      <c r="K40" s="828">
        <v>15000000</v>
      </c>
      <c r="L40" s="829">
        <v>15000000</v>
      </c>
      <c r="M40" s="829">
        <v>15000000</v>
      </c>
      <c r="N40" s="829">
        <v>15000000</v>
      </c>
      <c r="O40" s="829">
        <v>15000000</v>
      </c>
      <c r="P40" s="829">
        <v>15000000</v>
      </c>
      <c r="Q40" s="939">
        <f>+P40/O40</f>
        <v>1</v>
      </c>
      <c r="R40" s="807">
        <f t="shared" si="11"/>
        <v>17313072</v>
      </c>
      <c r="S40" s="856">
        <f t="shared" si="12"/>
        <v>17313072</v>
      </c>
      <c r="T40" s="856">
        <f t="shared" si="13"/>
        <v>17313072</v>
      </c>
      <c r="U40" s="856">
        <f t="shared" si="14"/>
        <v>17313072</v>
      </c>
      <c r="V40" s="856">
        <f t="shared" si="15"/>
        <v>17541672</v>
      </c>
      <c r="W40" s="856">
        <f>I40-P40</f>
        <v>17541672</v>
      </c>
      <c r="X40" s="939">
        <f t="shared" si="16"/>
        <v>1</v>
      </c>
    </row>
    <row r="41" spans="1:24" ht="48.75" customHeight="1">
      <c r="A41" s="825">
        <v>5</v>
      </c>
      <c r="B41" s="837" t="s">
        <v>543</v>
      </c>
      <c r="C41" s="836" t="s">
        <v>205</v>
      </c>
      <c r="D41" s="807">
        <v>4293132</v>
      </c>
      <c r="E41" s="856">
        <v>4293132</v>
      </c>
      <c r="F41" s="856">
        <v>4293132</v>
      </c>
      <c r="G41" s="856">
        <v>4293132</v>
      </c>
      <c r="H41" s="856">
        <v>4293132</v>
      </c>
      <c r="I41" s="856">
        <v>2226625</v>
      </c>
      <c r="J41" s="939">
        <f t="shared" si="10"/>
        <v>0.5186481571030195</v>
      </c>
      <c r="K41" s="854">
        <v>4293132</v>
      </c>
      <c r="L41" s="831">
        <v>4293132</v>
      </c>
      <c r="M41" s="831">
        <v>4293132</v>
      </c>
      <c r="N41" s="831">
        <v>4293132</v>
      </c>
      <c r="O41" s="831">
        <v>4293132</v>
      </c>
      <c r="P41" s="856">
        <v>2226625</v>
      </c>
      <c r="Q41" s="939">
        <f>+P41/O41</f>
        <v>0.5186481571030195</v>
      </c>
      <c r="R41" s="807">
        <f t="shared" si="11"/>
        <v>0</v>
      </c>
      <c r="S41" s="856">
        <f t="shared" si="12"/>
        <v>0</v>
      </c>
      <c r="T41" s="856">
        <f t="shared" si="13"/>
        <v>0</v>
      </c>
      <c r="U41" s="856">
        <f t="shared" si="14"/>
        <v>0</v>
      </c>
      <c r="V41" s="856">
        <f t="shared" si="15"/>
        <v>0</v>
      </c>
      <c r="W41" s="856">
        <f aca="true" t="shared" si="17" ref="W41:W50">I41-P41</f>
        <v>0</v>
      </c>
      <c r="X41" s="939"/>
    </row>
    <row r="42" spans="1:24" ht="28.5" customHeight="1">
      <c r="A42" s="825">
        <v>6</v>
      </c>
      <c r="B42" s="837" t="s">
        <v>636</v>
      </c>
      <c r="C42" s="832" t="s">
        <v>206</v>
      </c>
      <c r="D42" s="807">
        <v>1000000</v>
      </c>
      <c r="E42" s="856">
        <v>1000000</v>
      </c>
      <c r="F42" s="856">
        <v>1000000</v>
      </c>
      <c r="G42" s="856">
        <v>1000000</v>
      </c>
      <c r="H42" s="856">
        <v>1000000</v>
      </c>
      <c r="I42" s="856">
        <v>0</v>
      </c>
      <c r="J42" s="939">
        <f t="shared" si="10"/>
        <v>0</v>
      </c>
      <c r="K42" s="854"/>
      <c r="L42" s="831"/>
      <c r="M42" s="831"/>
      <c r="N42" s="831"/>
      <c r="O42" s="831"/>
      <c r="P42" s="831"/>
      <c r="Q42" s="830"/>
      <c r="R42" s="807">
        <f t="shared" si="11"/>
        <v>1000000</v>
      </c>
      <c r="S42" s="856">
        <f t="shared" si="12"/>
        <v>1000000</v>
      </c>
      <c r="T42" s="856">
        <f t="shared" si="13"/>
        <v>1000000</v>
      </c>
      <c r="U42" s="856">
        <f t="shared" si="14"/>
        <v>1000000</v>
      </c>
      <c r="V42" s="856">
        <f t="shared" si="15"/>
        <v>1000000</v>
      </c>
      <c r="W42" s="856">
        <f t="shared" si="17"/>
        <v>0</v>
      </c>
      <c r="X42" s="939">
        <f t="shared" si="16"/>
        <v>0</v>
      </c>
    </row>
    <row r="43" spans="1:24" ht="28.5" customHeight="1">
      <c r="A43" s="825">
        <v>7</v>
      </c>
      <c r="B43" s="837" t="s">
        <v>637</v>
      </c>
      <c r="C43" s="832" t="s">
        <v>206</v>
      </c>
      <c r="D43" s="807">
        <v>1000000</v>
      </c>
      <c r="E43" s="856">
        <v>1000000</v>
      </c>
      <c r="F43" s="856">
        <v>1000000</v>
      </c>
      <c r="G43" s="856">
        <v>1000000</v>
      </c>
      <c r="H43" s="856">
        <v>1000000</v>
      </c>
      <c r="I43" s="856">
        <v>0</v>
      </c>
      <c r="J43" s="939">
        <f t="shared" si="10"/>
        <v>0</v>
      </c>
      <c r="K43" s="854"/>
      <c r="L43" s="831"/>
      <c r="M43" s="831"/>
      <c r="N43" s="831"/>
      <c r="O43" s="831"/>
      <c r="P43" s="831"/>
      <c r="Q43" s="830"/>
      <c r="R43" s="807">
        <f t="shared" si="11"/>
        <v>1000000</v>
      </c>
      <c r="S43" s="856">
        <f t="shared" si="12"/>
        <v>1000000</v>
      </c>
      <c r="T43" s="856">
        <f t="shared" si="13"/>
        <v>1000000</v>
      </c>
      <c r="U43" s="856">
        <f t="shared" si="14"/>
        <v>1000000</v>
      </c>
      <c r="V43" s="856">
        <f t="shared" si="15"/>
        <v>1000000</v>
      </c>
      <c r="W43" s="856">
        <f t="shared" si="17"/>
        <v>0</v>
      </c>
      <c r="X43" s="939">
        <f t="shared" si="16"/>
        <v>0</v>
      </c>
    </row>
    <row r="44" spans="1:24" ht="48.75" customHeight="1">
      <c r="A44" s="825">
        <v>8</v>
      </c>
      <c r="B44" s="837" t="s">
        <v>638</v>
      </c>
      <c r="C44" s="855" t="s">
        <v>206</v>
      </c>
      <c r="D44" s="807">
        <v>5000000</v>
      </c>
      <c r="E44" s="856">
        <v>5000000</v>
      </c>
      <c r="F44" s="856">
        <v>5000000</v>
      </c>
      <c r="G44" s="856">
        <v>5000000</v>
      </c>
      <c r="H44" s="856">
        <f>5000000+2223250</f>
        <v>7223250</v>
      </c>
      <c r="I44" s="856">
        <v>7223250</v>
      </c>
      <c r="J44" s="939">
        <f t="shared" si="10"/>
        <v>1</v>
      </c>
      <c r="K44" s="854"/>
      <c r="L44" s="831"/>
      <c r="M44" s="831"/>
      <c r="N44" s="831"/>
      <c r="O44" s="831"/>
      <c r="P44" s="831"/>
      <c r="Q44" s="830"/>
      <c r="R44" s="807">
        <f t="shared" si="11"/>
        <v>5000000</v>
      </c>
      <c r="S44" s="856">
        <f t="shared" si="12"/>
        <v>5000000</v>
      </c>
      <c r="T44" s="856">
        <f t="shared" si="13"/>
        <v>5000000</v>
      </c>
      <c r="U44" s="856">
        <f t="shared" si="14"/>
        <v>5000000</v>
      </c>
      <c r="V44" s="856">
        <f t="shared" si="15"/>
        <v>7223250</v>
      </c>
      <c r="W44" s="856">
        <f t="shared" si="17"/>
        <v>7223250</v>
      </c>
      <c r="X44" s="939">
        <f t="shared" si="16"/>
        <v>1</v>
      </c>
    </row>
    <row r="45" spans="1:24" ht="48.75" customHeight="1">
      <c r="A45" s="825">
        <v>9</v>
      </c>
      <c r="B45" s="837" t="s">
        <v>639</v>
      </c>
      <c r="C45" s="855" t="s">
        <v>206</v>
      </c>
      <c r="D45" s="807">
        <v>635388</v>
      </c>
      <c r="E45" s="856">
        <v>635388</v>
      </c>
      <c r="F45" s="856">
        <v>635388</v>
      </c>
      <c r="G45" s="856">
        <v>635388</v>
      </c>
      <c r="H45" s="856">
        <f>635388+152400</f>
        <v>787788</v>
      </c>
      <c r="I45" s="856">
        <v>787788</v>
      </c>
      <c r="J45" s="939">
        <f t="shared" si="10"/>
        <v>1</v>
      </c>
      <c r="K45" s="854"/>
      <c r="L45" s="831"/>
      <c r="M45" s="831"/>
      <c r="N45" s="831"/>
      <c r="O45" s="831"/>
      <c r="P45" s="831"/>
      <c r="Q45" s="830"/>
      <c r="R45" s="807">
        <f t="shared" si="11"/>
        <v>635388</v>
      </c>
      <c r="S45" s="856">
        <f t="shared" si="12"/>
        <v>635388</v>
      </c>
      <c r="T45" s="856">
        <f t="shared" si="13"/>
        <v>635388</v>
      </c>
      <c r="U45" s="856">
        <f t="shared" si="14"/>
        <v>635388</v>
      </c>
      <c r="V45" s="856">
        <f t="shared" si="15"/>
        <v>787788</v>
      </c>
      <c r="W45" s="856">
        <f t="shared" si="17"/>
        <v>787788</v>
      </c>
      <c r="X45" s="939">
        <f t="shared" si="16"/>
        <v>1</v>
      </c>
    </row>
    <row r="46" spans="1:24" ht="48.75" customHeight="1">
      <c r="A46" s="825">
        <v>10</v>
      </c>
      <c r="B46" s="837" t="s">
        <v>640</v>
      </c>
      <c r="C46" s="832" t="s">
        <v>206</v>
      </c>
      <c r="D46" s="807">
        <v>4200000</v>
      </c>
      <c r="E46" s="856">
        <v>4200000</v>
      </c>
      <c r="F46" s="856">
        <v>4200000</v>
      </c>
      <c r="G46" s="856">
        <v>4200000</v>
      </c>
      <c r="H46" s="856">
        <v>4200000</v>
      </c>
      <c r="I46" s="856">
        <v>0</v>
      </c>
      <c r="J46" s="939">
        <f t="shared" si="10"/>
        <v>0</v>
      </c>
      <c r="K46" s="854"/>
      <c r="L46" s="831"/>
      <c r="M46" s="831"/>
      <c r="N46" s="831"/>
      <c r="O46" s="831"/>
      <c r="P46" s="831"/>
      <c r="Q46" s="830"/>
      <c r="R46" s="807">
        <f t="shared" si="11"/>
        <v>4200000</v>
      </c>
      <c r="S46" s="856">
        <f t="shared" si="12"/>
        <v>4200000</v>
      </c>
      <c r="T46" s="856">
        <f t="shared" si="13"/>
        <v>4200000</v>
      </c>
      <c r="U46" s="856">
        <f t="shared" si="14"/>
        <v>4200000</v>
      </c>
      <c r="V46" s="856">
        <f t="shared" si="15"/>
        <v>4200000</v>
      </c>
      <c r="W46" s="856">
        <f t="shared" si="17"/>
        <v>0</v>
      </c>
      <c r="X46" s="939">
        <f t="shared" si="16"/>
        <v>0</v>
      </c>
    </row>
    <row r="47" spans="1:24" ht="48.75" customHeight="1">
      <c r="A47" s="825">
        <v>11</v>
      </c>
      <c r="B47" s="834" t="s">
        <v>668</v>
      </c>
      <c r="C47" s="832" t="s">
        <v>206</v>
      </c>
      <c r="D47" s="806"/>
      <c r="E47" s="840"/>
      <c r="F47" s="840"/>
      <c r="G47" s="840">
        <v>76185600</v>
      </c>
      <c r="H47" s="938">
        <v>76185600</v>
      </c>
      <c r="I47" s="938">
        <v>0</v>
      </c>
      <c r="J47" s="939">
        <f t="shared" si="10"/>
        <v>0</v>
      </c>
      <c r="K47" s="854"/>
      <c r="L47" s="831"/>
      <c r="M47" s="831"/>
      <c r="N47" s="831">
        <v>76185600</v>
      </c>
      <c r="O47" s="831">
        <v>76185600</v>
      </c>
      <c r="P47" s="831"/>
      <c r="Q47" s="939">
        <f>+P47/O47</f>
        <v>0</v>
      </c>
      <c r="R47" s="807"/>
      <c r="S47" s="856"/>
      <c r="T47" s="856"/>
      <c r="U47" s="856">
        <f t="shared" si="14"/>
        <v>0</v>
      </c>
      <c r="V47" s="856">
        <f t="shared" si="15"/>
        <v>0</v>
      </c>
      <c r="W47" s="856">
        <f t="shared" si="17"/>
        <v>0</v>
      </c>
      <c r="X47" s="939"/>
    </row>
    <row r="48" spans="1:24" ht="48.75" customHeight="1">
      <c r="A48" s="825">
        <v>12</v>
      </c>
      <c r="B48" s="834" t="s">
        <v>677</v>
      </c>
      <c r="C48" s="832"/>
      <c r="D48" s="806"/>
      <c r="E48" s="840"/>
      <c r="F48" s="840"/>
      <c r="G48" s="840"/>
      <c r="H48" s="938">
        <v>5603240</v>
      </c>
      <c r="I48" s="938">
        <v>5603240</v>
      </c>
      <c r="J48" s="939">
        <f t="shared" si="10"/>
        <v>1</v>
      </c>
      <c r="K48" s="854"/>
      <c r="L48" s="831"/>
      <c r="M48" s="831"/>
      <c r="N48" s="831"/>
      <c r="O48" s="856"/>
      <c r="P48" s="856"/>
      <c r="Q48" s="830"/>
      <c r="R48" s="854"/>
      <c r="S48" s="831"/>
      <c r="T48" s="831"/>
      <c r="U48" s="856"/>
      <c r="V48" s="856">
        <f t="shared" si="15"/>
        <v>5603240</v>
      </c>
      <c r="W48" s="856">
        <f t="shared" si="17"/>
        <v>5603240</v>
      </c>
      <c r="X48" s="939">
        <f t="shared" si="16"/>
        <v>1</v>
      </c>
    </row>
    <row r="49" spans="1:24" ht="48.75" customHeight="1">
      <c r="A49" s="825">
        <v>13</v>
      </c>
      <c r="B49" s="857" t="s">
        <v>686</v>
      </c>
      <c r="C49" s="858"/>
      <c r="D49" s="806"/>
      <c r="E49" s="840"/>
      <c r="F49" s="840"/>
      <c r="G49" s="840"/>
      <c r="H49" s="938">
        <f>5929200+21960000+116100+430000+116100</f>
        <v>28551400</v>
      </c>
      <c r="I49" s="938"/>
      <c r="J49" s="939">
        <f t="shared" si="10"/>
        <v>0</v>
      </c>
      <c r="K49" s="854"/>
      <c r="L49" s="831"/>
      <c r="M49" s="831"/>
      <c r="N49" s="831"/>
      <c r="O49" s="856">
        <v>28551400</v>
      </c>
      <c r="P49" s="856"/>
      <c r="Q49" s="830"/>
      <c r="R49" s="854"/>
      <c r="S49" s="831"/>
      <c r="T49" s="831"/>
      <c r="U49" s="856"/>
      <c r="V49" s="856">
        <f t="shared" si="15"/>
        <v>0</v>
      </c>
      <c r="W49" s="856">
        <f t="shared" si="17"/>
        <v>0</v>
      </c>
      <c r="X49" s="939"/>
    </row>
    <row r="50" spans="1:24" ht="48.75" customHeight="1" thickBot="1">
      <c r="A50" s="825">
        <v>14</v>
      </c>
      <c r="B50" s="857" t="s">
        <v>687</v>
      </c>
      <c r="C50" s="858"/>
      <c r="D50" s="806"/>
      <c r="E50" s="840"/>
      <c r="F50" s="840"/>
      <c r="G50" s="840"/>
      <c r="H50" s="938">
        <f>50000+13500+3661417+988582+70000+18900</f>
        <v>4802399</v>
      </c>
      <c r="I50" s="938"/>
      <c r="J50" s="939">
        <f t="shared" si="10"/>
        <v>0</v>
      </c>
      <c r="K50" s="854"/>
      <c r="L50" s="831"/>
      <c r="M50" s="831"/>
      <c r="N50" s="831"/>
      <c r="O50" s="856">
        <v>4802399</v>
      </c>
      <c r="P50" s="856"/>
      <c r="Q50" s="830"/>
      <c r="R50" s="854"/>
      <c r="S50" s="831"/>
      <c r="T50" s="831"/>
      <c r="U50" s="856"/>
      <c r="V50" s="856">
        <f t="shared" si="15"/>
        <v>0</v>
      </c>
      <c r="W50" s="856">
        <f t="shared" si="17"/>
        <v>0</v>
      </c>
      <c r="X50" s="939"/>
    </row>
    <row r="51" spans="1:24" ht="29.25" customHeight="1" hidden="1" thickBot="1">
      <c r="A51" s="859"/>
      <c r="B51" s="860"/>
      <c r="C51" s="836" t="s">
        <v>206</v>
      </c>
      <c r="D51" s="807"/>
      <c r="E51" s="856"/>
      <c r="F51" s="856"/>
      <c r="G51" s="856"/>
      <c r="H51" s="856"/>
      <c r="I51" s="856"/>
      <c r="J51" s="939" t="e">
        <f>+I51/H51</f>
        <v>#DIV/0!</v>
      </c>
      <c r="K51" s="854"/>
      <c r="L51" s="831"/>
      <c r="M51" s="831"/>
      <c r="N51" s="831"/>
      <c r="O51" s="856"/>
      <c r="P51" s="856"/>
      <c r="Q51" s="830" t="e">
        <f>N51/L51</f>
        <v>#DIV/0!</v>
      </c>
      <c r="R51" s="854"/>
      <c r="S51" s="831"/>
      <c r="T51" s="831"/>
      <c r="U51" s="856">
        <f>G51-N51</f>
        <v>0</v>
      </c>
      <c r="V51" s="856">
        <f t="shared" si="15"/>
        <v>0</v>
      </c>
      <c r="W51" s="856" t="e">
        <f>J51-P51</f>
        <v>#DIV/0!</v>
      </c>
      <c r="X51" s="830" t="e">
        <f>U51/S51</f>
        <v>#DIV/0!</v>
      </c>
    </row>
    <row r="52" spans="1:24" ht="29.25" customHeight="1" thickBot="1">
      <c r="A52" s="1621" t="s">
        <v>1</v>
      </c>
      <c r="B52" s="1622"/>
      <c r="C52" s="815"/>
      <c r="D52" s="842">
        <f>SUM(D37:D51)</f>
        <v>75804348</v>
      </c>
      <c r="E52" s="843">
        <f>SUM(E37:E51)</f>
        <v>75804348</v>
      </c>
      <c r="F52" s="843">
        <f>SUM(F37:F51)</f>
        <v>75804348</v>
      </c>
      <c r="G52" s="843">
        <f>SUM(G37:G51)</f>
        <v>151989948</v>
      </c>
      <c r="H52" s="940">
        <f>SUM(H37:H51)</f>
        <v>193651237</v>
      </c>
      <c r="I52" s="940">
        <v>74006575</v>
      </c>
      <c r="J52" s="941">
        <f>+I52/H52</f>
        <v>0.3821642254730343</v>
      </c>
      <c r="K52" s="842">
        <f aca="true" t="shared" si="18" ref="K52:P52">SUM(K37:K51)</f>
        <v>19293132</v>
      </c>
      <c r="L52" s="843">
        <f>SUM(L37:L51)</f>
        <v>19293132</v>
      </c>
      <c r="M52" s="843">
        <f>SUM(M37:M51)</f>
        <v>19293132</v>
      </c>
      <c r="N52" s="843">
        <f t="shared" si="18"/>
        <v>95478732</v>
      </c>
      <c r="O52" s="843">
        <f t="shared" si="18"/>
        <v>128832531</v>
      </c>
      <c r="P52" s="843">
        <f t="shared" si="18"/>
        <v>17226625</v>
      </c>
      <c r="Q52" s="941">
        <f>+P52/O52</f>
        <v>0.1337133165535652</v>
      </c>
      <c r="R52" s="842">
        <f>SUM(R37:R51)</f>
        <v>56511216</v>
      </c>
      <c r="S52" s="843">
        <f>SUM(S37:S51)</f>
        <v>56511216</v>
      </c>
      <c r="T52" s="843">
        <f>SUM(T37:T51)</f>
        <v>56511216</v>
      </c>
      <c r="U52" s="843">
        <f>SUM(U37:U51)</f>
        <v>56511216</v>
      </c>
      <c r="V52" s="843">
        <f>SUM(V37:V51)</f>
        <v>64818706</v>
      </c>
      <c r="W52" s="843">
        <f>SUM(W37:W50)</f>
        <v>56779950</v>
      </c>
      <c r="X52" s="941">
        <f>+W52/V52</f>
        <v>0.8759809243954978</v>
      </c>
    </row>
    <row r="53" ht="15.75">
      <c r="D53" s="846"/>
    </row>
    <row r="54" spans="4:18" ht="12.75">
      <c r="D54" s="809" t="str">
        <f>IF(K52+R52=D52," ","HIBA-NEM EGYENLŐ")</f>
        <v> </v>
      </c>
      <c r="K54" s="844"/>
      <c r="L54" s="844"/>
      <c r="M54" s="844"/>
      <c r="N54" s="844"/>
      <c r="O54" s="844"/>
      <c r="P54" s="844"/>
      <c r="Q54" s="844"/>
      <c r="R54" s="844"/>
    </row>
    <row r="55" ht="12.75">
      <c r="U55" s="844"/>
    </row>
  </sheetData>
  <sheetProtection/>
  <mergeCells count="10">
    <mergeCell ref="D35:J35"/>
    <mergeCell ref="K35:Q35"/>
    <mergeCell ref="R35:X35"/>
    <mergeCell ref="A52:B52"/>
    <mergeCell ref="A1:R1"/>
    <mergeCell ref="D3:J3"/>
    <mergeCell ref="K3:Q3"/>
    <mergeCell ref="R3:X3"/>
    <mergeCell ref="A30:B30"/>
    <mergeCell ref="A33:R33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landscape" paperSize="8" scale="45" r:id="rId1"/>
  <headerFooter alignWithMargins="0">
    <oddHeader xml:space="preserve">&amp;CÖNKORMÁNYZATI BERUHÁZÁSOK ÉS FELÚJÍTÁSOK
2019.
&amp;R&amp;"Arial CE,Félkövér dőlt"6/a számú melléklet </oddHeader>
  </headerFooter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="60" workbookViewId="0" topLeftCell="A1">
      <selection activeCell="J28" sqref="J14:J28"/>
    </sheetView>
  </sheetViews>
  <sheetFormatPr defaultColWidth="9.140625" defaultRowHeight="12.75"/>
  <cols>
    <col min="1" max="1" width="6.57421875" style="861" customWidth="1"/>
    <col min="2" max="2" width="26.7109375" style="863" customWidth="1"/>
    <col min="3" max="3" width="28.28125" style="863" customWidth="1"/>
    <col min="4" max="4" width="5.00390625" style="861" customWidth="1"/>
    <col min="5" max="5" width="14.57421875" style="861" customWidth="1"/>
    <col min="6" max="6" width="14.57421875" style="861" hidden="1" customWidth="1"/>
    <col min="7" max="7" width="15.7109375" style="861" hidden="1" customWidth="1"/>
    <col min="8" max="8" width="13.57421875" style="861" hidden="1" customWidth="1"/>
    <col min="9" max="9" width="12.57421875" style="861" customWidth="1"/>
    <col min="10" max="10" width="13.8515625" style="861" customWidth="1"/>
    <col min="11" max="11" width="14.7109375" style="861" customWidth="1"/>
    <col min="12" max="12" width="11.421875" style="861" customWidth="1"/>
    <col min="13" max="15" width="9.140625" style="861" customWidth="1"/>
    <col min="16" max="16384" width="9.140625" style="861" customWidth="1"/>
  </cols>
  <sheetData>
    <row r="1" spans="2:11" ht="12.75">
      <c r="B1" s="862"/>
      <c r="D1" s="1629" t="s">
        <v>1016</v>
      </c>
      <c r="E1" s="1629"/>
      <c r="F1" s="1629"/>
      <c r="G1" s="1629"/>
      <c r="H1" s="1629"/>
      <c r="I1" s="1629"/>
      <c r="J1" s="1629"/>
      <c r="K1" s="1629"/>
    </row>
    <row r="2" ht="12.75">
      <c r="B2" s="862"/>
    </row>
    <row r="3" spans="1:11" ht="18">
      <c r="A3" s="1628" t="s">
        <v>55</v>
      </c>
      <c r="B3" s="1628"/>
      <c r="C3" s="1628"/>
      <c r="D3" s="1628"/>
      <c r="E3" s="1628"/>
      <c r="F3" s="1628"/>
      <c r="G3" s="1628"/>
      <c r="H3" s="1628"/>
      <c r="I3" s="1628"/>
      <c r="J3" s="1628"/>
      <c r="K3" s="1628"/>
    </row>
    <row r="4" spans="1:11" ht="18">
      <c r="A4" s="1628" t="s">
        <v>496</v>
      </c>
      <c r="B4" s="1628"/>
      <c r="C4" s="1628"/>
      <c r="D4" s="1628"/>
      <c r="E4" s="1628"/>
      <c r="F4" s="1628"/>
      <c r="G4" s="1628"/>
      <c r="H4" s="1628"/>
      <c r="I4" s="1628"/>
      <c r="J4" s="1628"/>
      <c r="K4" s="1628"/>
    </row>
    <row r="5" spans="1:6" ht="18">
      <c r="A5" s="757"/>
      <c r="B5" s="758"/>
      <c r="C5" s="758"/>
      <c r="D5" s="757"/>
      <c r="E5" s="757"/>
      <c r="F5" s="757"/>
    </row>
    <row r="6" spans="1:11" ht="15.75">
      <c r="A6" s="1630" t="s">
        <v>617</v>
      </c>
      <c r="B6" s="1630"/>
      <c r="C6" s="1630"/>
      <c r="D6" s="1630"/>
      <c r="E6" s="1630"/>
      <c r="F6" s="1630"/>
      <c r="G6" s="1630"/>
      <c r="H6" s="1630"/>
      <c r="I6" s="1630"/>
      <c r="J6" s="1630"/>
      <c r="K6" s="1630"/>
    </row>
    <row r="7" spans="1:11" ht="16.5" customHeight="1" thickBot="1">
      <c r="A7" s="864"/>
      <c r="B7" s="862"/>
      <c r="C7" s="1625" t="s">
        <v>465</v>
      </c>
      <c r="D7" s="1625"/>
      <c r="E7" s="1625"/>
      <c r="F7" s="1625"/>
      <c r="G7" s="1625"/>
      <c r="H7" s="1625"/>
      <c r="I7" s="1625"/>
      <c r="J7" s="1625"/>
      <c r="K7" s="1625"/>
    </row>
    <row r="8" spans="1:11" ht="45.75" customHeight="1" thickBot="1">
      <c r="A8" s="759" t="s">
        <v>18</v>
      </c>
      <c r="B8" s="760" t="s">
        <v>16</v>
      </c>
      <c r="C8" s="760" t="s">
        <v>17</v>
      </c>
      <c r="D8" s="761" t="s">
        <v>29</v>
      </c>
      <c r="E8" s="762" t="s">
        <v>204</v>
      </c>
      <c r="F8" s="760" t="s">
        <v>225</v>
      </c>
      <c r="G8" s="760" t="s">
        <v>228</v>
      </c>
      <c r="H8" s="760" t="s">
        <v>230</v>
      </c>
      <c r="I8" s="760" t="s">
        <v>242</v>
      </c>
      <c r="J8" s="760" t="s">
        <v>233</v>
      </c>
      <c r="K8" s="760" t="s">
        <v>233</v>
      </c>
    </row>
    <row r="9" spans="1:11" ht="30" customHeight="1">
      <c r="A9" s="17">
        <v>1</v>
      </c>
      <c r="B9" s="627" t="s">
        <v>334</v>
      </c>
      <c r="C9" s="33" t="s">
        <v>641</v>
      </c>
      <c r="D9" s="570" t="s">
        <v>14</v>
      </c>
      <c r="E9" s="571">
        <v>260128</v>
      </c>
      <c r="F9" s="571">
        <v>260128</v>
      </c>
      <c r="G9" s="571">
        <v>260128</v>
      </c>
      <c r="H9" s="571">
        <v>260128</v>
      </c>
      <c r="I9" s="571"/>
      <c r="J9" s="571"/>
      <c r="K9" s="949"/>
    </row>
    <row r="10" spans="1:11" ht="30" customHeight="1">
      <c r="A10" s="34">
        <v>2</v>
      </c>
      <c r="B10" s="627" t="s">
        <v>334</v>
      </c>
      <c r="C10" s="33" t="s">
        <v>642</v>
      </c>
      <c r="D10" s="628" t="s">
        <v>14</v>
      </c>
      <c r="E10" s="629">
        <v>531495</v>
      </c>
      <c r="F10" s="629">
        <v>531495</v>
      </c>
      <c r="G10" s="629">
        <v>531495</v>
      </c>
      <c r="H10" s="629">
        <v>531495</v>
      </c>
      <c r="I10" s="629"/>
      <c r="J10" s="629"/>
      <c r="K10" s="948"/>
    </row>
    <row r="11" spans="1:11" ht="30" customHeight="1">
      <c r="A11" s="34">
        <v>3</v>
      </c>
      <c r="B11" s="627" t="s">
        <v>334</v>
      </c>
      <c r="C11" s="33" t="s">
        <v>643</v>
      </c>
      <c r="D11" s="628" t="s">
        <v>14</v>
      </c>
      <c r="E11" s="629">
        <v>266446</v>
      </c>
      <c r="F11" s="629">
        <v>266446</v>
      </c>
      <c r="G11" s="629">
        <v>266446</v>
      </c>
      <c r="H11" s="629">
        <v>266446</v>
      </c>
      <c r="I11" s="629"/>
      <c r="J11" s="629"/>
      <c r="K11" s="948"/>
    </row>
    <row r="12" spans="1:16" ht="30" customHeight="1">
      <c r="A12" s="34">
        <v>4</v>
      </c>
      <c r="B12" s="627" t="s">
        <v>334</v>
      </c>
      <c r="C12" s="33" t="s">
        <v>644</v>
      </c>
      <c r="D12" s="763" t="s">
        <v>14</v>
      </c>
      <c r="E12" s="629">
        <v>381000</v>
      </c>
      <c r="F12" s="629">
        <v>381000</v>
      </c>
      <c r="G12" s="629">
        <v>381000</v>
      </c>
      <c r="H12" s="629">
        <v>381000</v>
      </c>
      <c r="I12" s="629"/>
      <c r="J12" s="629"/>
      <c r="K12" s="948"/>
      <c r="N12" s="865"/>
      <c r="P12" s="865"/>
    </row>
    <row r="13" spans="1:16" ht="30" customHeight="1">
      <c r="A13" s="34">
        <v>5</v>
      </c>
      <c r="B13" s="627" t="s">
        <v>334</v>
      </c>
      <c r="C13" s="33" t="s">
        <v>685</v>
      </c>
      <c r="D13" s="763"/>
      <c r="E13" s="629"/>
      <c r="F13" s="629"/>
      <c r="G13" s="629"/>
      <c r="H13" s="629"/>
      <c r="I13" s="629">
        <f>+'5.1 sz. m Köz Hiv'!H41</f>
        <v>1069550</v>
      </c>
      <c r="J13" s="629">
        <f>+'5.1 sz. m Köz Hiv'!I41</f>
        <v>1069550</v>
      </c>
      <c r="K13" s="948">
        <f>+J13/I13</f>
        <v>1</v>
      </c>
      <c r="N13" s="865"/>
      <c r="P13" s="865"/>
    </row>
    <row r="14" spans="1:11" ht="30" customHeight="1">
      <c r="A14" s="34">
        <v>6</v>
      </c>
      <c r="B14" s="627" t="s">
        <v>213</v>
      </c>
      <c r="C14" s="33" t="s">
        <v>645</v>
      </c>
      <c r="D14" s="763" t="s">
        <v>14</v>
      </c>
      <c r="E14" s="629">
        <v>129794</v>
      </c>
      <c r="F14" s="629">
        <v>129794</v>
      </c>
      <c r="G14" s="629">
        <v>129794</v>
      </c>
      <c r="H14" s="629">
        <v>129794</v>
      </c>
      <c r="I14" s="629"/>
      <c r="J14" s="629"/>
      <c r="K14" s="948"/>
    </row>
    <row r="15" spans="1:11" ht="30" customHeight="1">
      <c r="A15" s="34">
        <v>7</v>
      </c>
      <c r="B15" s="627" t="s">
        <v>213</v>
      </c>
      <c r="C15" s="33" t="s">
        <v>648</v>
      </c>
      <c r="D15" s="866" t="s">
        <v>14</v>
      </c>
      <c r="E15" s="572">
        <v>463550</v>
      </c>
      <c r="F15" s="572">
        <v>463550</v>
      </c>
      <c r="G15" s="572">
        <v>463550</v>
      </c>
      <c r="H15" s="572">
        <v>463550</v>
      </c>
      <c r="I15" s="572">
        <v>434340</v>
      </c>
      <c r="J15" s="572">
        <v>434340</v>
      </c>
      <c r="K15" s="926">
        <f aca="true" t="shared" si="0" ref="K15:K36">+J15/I15</f>
        <v>1</v>
      </c>
    </row>
    <row r="16" spans="1:11" ht="30" customHeight="1">
      <c r="A16" s="34">
        <v>8</v>
      </c>
      <c r="B16" s="627" t="s">
        <v>213</v>
      </c>
      <c r="C16" s="33" t="s">
        <v>646</v>
      </c>
      <c r="D16" s="866" t="s">
        <v>14</v>
      </c>
      <c r="E16" s="572">
        <v>299822</v>
      </c>
      <c r="F16" s="572">
        <v>299822</v>
      </c>
      <c r="G16" s="572">
        <v>299822</v>
      </c>
      <c r="H16" s="572">
        <v>299822</v>
      </c>
      <c r="I16" s="572">
        <v>266400</v>
      </c>
      <c r="J16" s="572">
        <v>266400</v>
      </c>
      <c r="K16" s="926">
        <f t="shared" si="0"/>
        <v>1</v>
      </c>
    </row>
    <row r="17" spans="1:11" ht="30" customHeight="1">
      <c r="A17" s="34">
        <v>9</v>
      </c>
      <c r="B17" s="627" t="s">
        <v>213</v>
      </c>
      <c r="C17" s="33" t="s">
        <v>647</v>
      </c>
      <c r="D17" s="867" t="s">
        <v>14</v>
      </c>
      <c r="E17" s="572">
        <v>177800</v>
      </c>
      <c r="F17" s="572">
        <v>177800</v>
      </c>
      <c r="G17" s="572">
        <v>177800</v>
      </c>
      <c r="H17" s="572">
        <v>177800</v>
      </c>
      <c r="I17" s="572">
        <f>51340+145804</f>
        <v>197144</v>
      </c>
      <c r="J17" s="572">
        <f>51340+145804</f>
        <v>197144</v>
      </c>
      <c r="K17" s="926">
        <f t="shared" si="0"/>
        <v>1</v>
      </c>
    </row>
    <row r="18" spans="1:11" ht="36.75" customHeight="1">
      <c r="A18" s="34">
        <v>10</v>
      </c>
      <c r="B18" s="627" t="s">
        <v>213</v>
      </c>
      <c r="C18" s="33" t="s">
        <v>649</v>
      </c>
      <c r="D18" s="867" t="s">
        <v>14</v>
      </c>
      <c r="E18" s="572">
        <v>635000</v>
      </c>
      <c r="F18" s="572">
        <v>635000</v>
      </c>
      <c r="G18" s="572">
        <v>635000</v>
      </c>
      <c r="H18" s="572">
        <v>635000</v>
      </c>
      <c r="I18" s="572">
        <f>198001+198239+185077</f>
        <v>581317</v>
      </c>
      <c r="J18" s="572">
        <f>198001+198239+185077</f>
        <v>581317</v>
      </c>
      <c r="K18" s="926">
        <f t="shared" si="0"/>
        <v>1</v>
      </c>
    </row>
    <row r="19" spans="1:11" ht="36.75" customHeight="1">
      <c r="A19" s="34">
        <v>11</v>
      </c>
      <c r="B19" s="627" t="s">
        <v>213</v>
      </c>
      <c r="C19" s="33" t="s">
        <v>533</v>
      </c>
      <c r="D19" s="867" t="s">
        <v>14</v>
      </c>
      <c r="E19" s="572">
        <v>114300</v>
      </c>
      <c r="F19" s="572">
        <v>114300</v>
      </c>
      <c r="G19" s="572">
        <v>114300</v>
      </c>
      <c r="H19" s="572">
        <v>114300</v>
      </c>
      <c r="I19" s="572">
        <v>84900</v>
      </c>
      <c r="J19" s="572">
        <v>84900</v>
      </c>
      <c r="K19" s="926">
        <f t="shared" si="0"/>
        <v>1</v>
      </c>
    </row>
    <row r="20" spans="1:11" ht="36.75" customHeight="1">
      <c r="A20" s="34">
        <v>12</v>
      </c>
      <c r="B20" s="627" t="s">
        <v>213</v>
      </c>
      <c r="C20" s="33" t="s">
        <v>684</v>
      </c>
      <c r="D20" s="763" t="s">
        <v>14</v>
      </c>
      <c r="E20" s="572">
        <v>190500</v>
      </c>
      <c r="F20" s="572">
        <v>190500</v>
      </c>
      <c r="G20" s="572">
        <v>190500</v>
      </c>
      <c r="H20" s="572">
        <v>190500</v>
      </c>
      <c r="I20" s="572">
        <f>49276+20690</f>
        <v>69966</v>
      </c>
      <c r="J20" s="572">
        <f>49276+20690</f>
        <v>69966</v>
      </c>
      <c r="K20" s="926">
        <f t="shared" si="0"/>
        <v>1</v>
      </c>
    </row>
    <row r="21" spans="1:16" ht="36.75" customHeight="1">
      <c r="A21" s="34">
        <v>13</v>
      </c>
      <c r="B21" s="627" t="s">
        <v>213</v>
      </c>
      <c r="C21" s="33" t="s">
        <v>650</v>
      </c>
      <c r="D21" s="763" t="s">
        <v>14</v>
      </c>
      <c r="E21" s="572">
        <v>44450</v>
      </c>
      <c r="F21" s="572">
        <v>44450</v>
      </c>
      <c r="G21" s="572">
        <v>44450</v>
      </c>
      <c r="H21" s="572">
        <v>44450</v>
      </c>
      <c r="I21" s="572"/>
      <c r="J21" s="572"/>
      <c r="K21" s="926"/>
      <c r="P21" s="865"/>
    </row>
    <row r="22" spans="1:11" ht="36.75" customHeight="1">
      <c r="A22" s="34">
        <v>14</v>
      </c>
      <c r="B22" s="627" t="s">
        <v>213</v>
      </c>
      <c r="C22" s="33" t="s">
        <v>662</v>
      </c>
      <c r="D22" s="763" t="s">
        <v>14</v>
      </c>
      <c r="E22" s="572"/>
      <c r="F22" s="572"/>
      <c r="G22" s="572">
        <v>37500</v>
      </c>
      <c r="H22" s="572">
        <v>37500</v>
      </c>
      <c r="I22" s="572"/>
      <c r="J22" s="572"/>
      <c r="K22" s="926"/>
    </row>
    <row r="23" spans="1:11" ht="36.75" customHeight="1">
      <c r="A23" s="34">
        <v>15</v>
      </c>
      <c r="B23" s="627" t="s">
        <v>213</v>
      </c>
      <c r="C23" s="33" t="s">
        <v>678</v>
      </c>
      <c r="D23" s="763" t="s">
        <v>14</v>
      </c>
      <c r="E23" s="572"/>
      <c r="F23" s="572"/>
      <c r="G23" s="572"/>
      <c r="H23" s="572"/>
      <c r="I23" s="572">
        <v>28900</v>
      </c>
      <c r="J23" s="572">
        <v>28900</v>
      </c>
      <c r="K23" s="926">
        <f t="shared" si="0"/>
        <v>1</v>
      </c>
    </row>
    <row r="24" spans="1:11" ht="36.75" customHeight="1">
      <c r="A24" s="34">
        <v>16</v>
      </c>
      <c r="B24" s="627" t="s">
        <v>213</v>
      </c>
      <c r="C24" s="33" t="s">
        <v>679</v>
      </c>
      <c r="D24" s="763" t="s">
        <v>14</v>
      </c>
      <c r="E24" s="572"/>
      <c r="F24" s="572"/>
      <c r="G24" s="572"/>
      <c r="H24" s="572"/>
      <c r="I24" s="572">
        <v>142240</v>
      </c>
      <c r="J24" s="572">
        <v>142240</v>
      </c>
      <c r="K24" s="926">
        <f t="shared" si="0"/>
        <v>1</v>
      </c>
    </row>
    <row r="25" spans="1:11" ht="36.75" customHeight="1">
      <c r="A25" s="34">
        <v>17</v>
      </c>
      <c r="B25" s="627" t="s">
        <v>213</v>
      </c>
      <c r="C25" s="33" t="s">
        <v>680</v>
      </c>
      <c r="D25" s="763" t="s">
        <v>14</v>
      </c>
      <c r="E25" s="572"/>
      <c r="F25" s="572"/>
      <c r="G25" s="572"/>
      <c r="H25" s="572"/>
      <c r="I25" s="572">
        <v>187325</v>
      </c>
      <c r="J25" s="572">
        <v>187325</v>
      </c>
      <c r="K25" s="926">
        <f t="shared" si="0"/>
        <v>1</v>
      </c>
    </row>
    <row r="26" spans="1:11" ht="36.75" customHeight="1">
      <c r="A26" s="34">
        <v>18</v>
      </c>
      <c r="B26" s="627" t="s">
        <v>213</v>
      </c>
      <c r="C26" s="33" t="s">
        <v>681</v>
      </c>
      <c r="D26" s="763" t="s">
        <v>14</v>
      </c>
      <c r="E26" s="572"/>
      <c r="F26" s="572"/>
      <c r="G26" s="572"/>
      <c r="H26" s="572"/>
      <c r="I26" s="572">
        <v>20690</v>
      </c>
      <c r="J26" s="572">
        <v>20690</v>
      </c>
      <c r="K26" s="926">
        <f t="shared" si="0"/>
        <v>1</v>
      </c>
    </row>
    <row r="27" spans="1:11" ht="36.75" customHeight="1">
      <c r="A27" s="34">
        <v>19</v>
      </c>
      <c r="B27" s="627" t="s">
        <v>213</v>
      </c>
      <c r="C27" s="33" t="s">
        <v>682</v>
      </c>
      <c r="D27" s="763" t="s">
        <v>14</v>
      </c>
      <c r="E27" s="572"/>
      <c r="F27" s="572"/>
      <c r="G27" s="572"/>
      <c r="H27" s="572"/>
      <c r="I27" s="572">
        <v>53275</v>
      </c>
      <c r="J27" s="572">
        <v>53275</v>
      </c>
      <c r="K27" s="926">
        <f t="shared" si="0"/>
        <v>1</v>
      </c>
    </row>
    <row r="28" spans="1:11" ht="36.75" customHeight="1" thickBot="1">
      <c r="A28" s="34">
        <v>20</v>
      </c>
      <c r="B28" s="627" t="s">
        <v>213</v>
      </c>
      <c r="C28" s="33" t="s">
        <v>683</v>
      </c>
      <c r="D28" s="763" t="s">
        <v>14</v>
      </c>
      <c r="E28" s="572"/>
      <c r="F28" s="572"/>
      <c r="G28" s="572"/>
      <c r="H28" s="572"/>
      <c r="I28" s="572">
        <v>64999</v>
      </c>
      <c r="J28" s="572">
        <v>64999</v>
      </c>
      <c r="K28" s="926">
        <f t="shared" si="0"/>
        <v>1</v>
      </c>
    </row>
    <row r="29" spans="1:11" ht="36.75" customHeight="1" hidden="1">
      <c r="A29" s="34">
        <v>21</v>
      </c>
      <c r="B29" s="627" t="s">
        <v>213</v>
      </c>
      <c r="C29" s="33"/>
      <c r="D29" s="763" t="s">
        <v>14</v>
      </c>
      <c r="E29" s="572"/>
      <c r="F29" s="572"/>
      <c r="G29" s="572"/>
      <c r="H29" s="572"/>
      <c r="I29" s="572"/>
      <c r="J29" s="572"/>
      <c r="K29" s="926" t="e">
        <f t="shared" si="0"/>
        <v>#DIV/0!</v>
      </c>
    </row>
    <row r="30" spans="1:11" ht="36.75" customHeight="1" hidden="1" thickBot="1">
      <c r="A30" s="771">
        <v>22</v>
      </c>
      <c r="B30" s="627" t="s">
        <v>213</v>
      </c>
      <c r="C30" s="764"/>
      <c r="D30" s="763" t="s">
        <v>14</v>
      </c>
      <c r="E30" s="572"/>
      <c r="F30" s="572"/>
      <c r="G30" s="572"/>
      <c r="H30" s="572"/>
      <c r="I30" s="572"/>
      <c r="J30" s="572"/>
      <c r="K30" s="926" t="e">
        <f t="shared" si="0"/>
        <v>#DIV/0!</v>
      </c>
    </row>
    <row r="31" spans="1:11" ht="36.75" customHeight="1" hidden="1">
      <c r="A31" s="17">
        <v>23</v>
      </c>
      <c r="B31" s="627" t="s">
        <v>213</v>
      </c>
      <c r="C31" s="33"/>
      <c r="D31" s="763" t="s">
        <v>14</v>
      </c>
      <c r="E31" s="572"/>
      <c r="F31" s="572"/>
      <c r="G31" s="572"/>
      <c r="H31" s="572"/>
      <c r="I31" s="572"/>
      <c r="J31" s="572"/>
      <c r="K31" s="926" t="e">
        <f t="shared" si="0"/>
        <v>#DIV/0!</v>
      </c>
    </row>
    <row r="32" spans="1:11" ht="36.75" customHeight="1" hidden="1" thickBot="1">
      <c r="A32" s="34">
        <v>24</v>
      </c>
      <c r="B32" s="627" t="s">
        <v>213</v>
      </c>
      <c r="C32" s="33"/>
      <c r="D32" s="763" t="s">
        <v>14</v>
      </c>
      <c r="E32" s="572"/>
      <c r="F32" s="572"/>
      <c r="G32" s="572"/>
      <c r="H32" s="572"/>
      <c r="I32" s="572"/>
      <c r="J32" s="572"/>
      <c r="K32" s="926" t="e">
        <f t="shared" si="0"/>
        <v>#DIV/0!</v>
      </c>
    </row>
    <row r="33" spans="1:12" ht="36.75" customHeight="1" hidden="1">
      <c r="A33" s="17">
        <v>25</v>
      </c>
      <c r="B33" s="627" t="s">
        <v>213</v>
      </c>
      <c r="C33" s="33"/>
      <c r="D33" s="763" t="s">
        <v>14</v>
      </c>
      <c r="E33" s="572"/>
      <c r="F33" s="572"/>
      <c r="G33" s="572"/>
      <c r="H33" s="572"/>
      <c r="I33" s="572"/>
      <c r="J33" s="572"/>
      <c r="K33" s="926" t="e">
        <f t="shared" si="0"/>
        <v>#DIV/0!</v>
      </c>
      <c r="L33" s="765"/>
    </row>
    <row r="34" spans="1:12" ht="36.75" customHeight="1" hidden="1" thickBot="1">
      <c r="A34" s="34">
        <v>26</v>
      </c>
      <c r="B34" s="627" t="s">
        <v>213</v>
      </c>
      <c r="C34" s="33"/>
      <c r="D34" s="763" t="s">
        <v>14</v>
      </c>
      <c r="E34" s="572"/>
      <c r="F34" s="572"/>
      <c r="G34" s="572"/>
      <c r="H34" s="572"/>
      <c r="I34" s="572"/>
      <c r="J34" s="572"/>
      <c r="K34" s="926" t="e">
        <f t="shared" si="0"/>
        <v>#DIV/0!</v>
      </c>
      <c r="L34" s="765"/>
    </row>
    <row r="35" spans="1:12" ht="36.75" customHeight="1" hidden="1" thickBot="1">
      <c r="A35" s="771">
        <v>26</v>
      </c>
      <c r="B35" s="627" t="s">
        <v>213</v>
      </c>
      <c r="C35" s="33"/>
      <c r="D35" s="763" t="s">
        <v>14</v>
      </c>
      <c r="E35" s="572"/>
      <c r="F35" s="572"/>
      <c r="G35" s="572"/>
      <c r="H35" s="572"/>
      <c r="I35" s="572"/>
      <c r="J35" s="572"/>
      <c r="K35" s="926" t="e">
        <f t="shared" si="0"/>
        <v>#DIV/0!</v>
      </c>
      <c r="L35" s="765"/>
    </row>
    <row r="36" spans="1:12" s="770" customFormat="1" ht="30" customHeight="1" thickBot="1">
      <c r="A36" s="1626" t="s">
        <v>1</v>
      </c>
      <c r="B36" s="1627"/>
      <c r="C36" s="766"/>
      <c r="D36" s="767"/>
      <c r="E36" s="768">
        <f aca="true" t="shared" si="1" ref="E36:J36">SUM(E9:E35)</f>
        <v>3494285</v>
      </c>
      <c r="F36" s="768">
        <f t="shared" si="1"/>
        <v>3494285</v>
      </c>
      <c r="G36" s="768">
        <f t="shared" si="1"/>
        <v>3531785</v>
      </c>
      <c r="H36" s="768">
        <f t="shared" si="1"/>
        <v>3531785</v>
      </c>
      <c r="I36" s="768">
        <f t="shared" si="1"/>
        <v>3201046</v>
      </c>
      <c r="J36" s="768">
        <f t="shared" si="1"/>
        <v>3201046</v>
      </c>
      <c r="K36" s="910">
        <f t="shared" si="0"/>
        <v>1</v>
      </c>
      <c r="L36" s="769"/>
    </row>
    <row r="37" ht="12.75" hidden="1">
      <c r="K37" s="861">
        <f>301792+3624773</f>
        <v>3926565</v>
      </c>
    </row>
    <row r="38" spans="5:11" ht="12.75" hidden="1">
      <c r="E38" s="861" t="str">
        <f>IF(E36='5.2 sz. m ÁMK'!D44+'5.2 sz. m ÁMK'!D46+'5.1 sz. m Köz Hiv'!D41+'5.1 sz. m Köz Hiv'!D42," ","HIBA - nem egyenlő")</f>
        <v> </v>
      </c>
      <c r="F38" s="861" t="str">
        <f>IF(F36='5.2 sz. m ÁMK'!E44+'5.2 sz. m ÁMK'!E46+'5.1 sz. m Köz Hiv'!E41+'5.1 sz. m Köz Hiv'!E42," ","HIBA - nem egyenlő")</f>
        <v> </v>
      </c>
      <c r="H38" s="861">
        <f>+'5.2 sz. m ÁMK'!F44+'5.1 sz. m Köz Hiv'!G41</f>
        <v>3531785</v>
      </c>
      <c r="I38" s="861">
        <f>+'5.2 sz. m ÁMK'!G44+'5.1 sz. m Köz Hiv'!H41</f>
        <v>3162266</v>
      </c>
      <c r="J38" s="861">
        <f>+'5.2 sz. m ÁMK'!H44+'5.1 sz. m Köz Hiv'!I41</f>
        <v>3201046</v>
      </c>
      <c r="K38" s="861">
        <f>+K36-K37</f>
        <v>-3926564</v>
      </c>
    </row>
    <row r="39" ht="12.75" hidden="1"/>
    <row r="40" ht="12.75" hidden="1">
      <c r="H40" s="861">
        <f>+'5.2 sz. m ÁMK'!G44</f>
        <v>2092716</v>
      </c>
    </row>
    <row r="41" ht="12.75" hidden="1">
      <c r="H41" s="865">
        <f>SUM(H12:H35)</f>
        <v>2473716</v>
      </c>
    </row>
    <row r="42" spans="6:8" ht="12.75" hidden="1">
      <c r="F42" s="865"/>
      <c r="H42" s="865">
        <f>+H40-H41</f>
        <v>-381000</v>
      </c>
    </row>
    <row r="44" ht="12.75">
      <c r="I44" s="865"/>
    </row>
  </sheetData>
  <sheetProtection/>
  <mergeCells count="6">
    <mergeCell ref="C7:K7"/>
    <mergeCell ref="A36:B36"/>
    <mergeCell ref="A3:K3"/>
    <mergeCell ref="A4:K4"/>
    <mergeCell ref="D1:K1"/>
    <mergeCell ref="A6:K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User5</cp:lastModifiedBy>
  <cp:lastPrinted>2020-07-02T09:26:45Z</cp:lastPrinted>
  <dcterms:created xsi:type="dcterms:W3CDTF">2000-01-07T08:44:52Z</dcterms:created>
  <dcterms:modified xsi:type="dcterms:W3CDTF">2020-07-02T11:38:17Z</dcterms:modified>
  <cp:category/>
  <cp:version/>
  <cp:contentType/>
  <cp:contentStatus/>
</cp:coreProperties>
</file>